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va\Documents\ostatní\Soutěž Ekotým\051125\K uveřejnění v MS Teams\Finanční a ostatní ekonomické výkazy\"/>
    </mc:Choice>
  </mc:AlternateContent>
  <xr:revisionPtr revIDLastSave="0" documentId="8_{EC805833-CB83-4D80-ABD3-4E418026CF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ýsledovka" sheetId="4" r:id="rId1"/>
    <sheet name="Účty" sheetId="5" r:id="rId2"/>
    <sheet name="Položky" sheetId="1" r:id="rId3"/>
    <sheet name="Porovnání sklad. a prodej. cen" sheetId="6" r:id="rId4"/>
  </sheets>
  <definedNames>
    <definedName name="_xlnm._FilterDatabase" localSheetId="2" hidden="1">Položky!$A$1:$P$1</definedName>
    <definedName name="_xlnm.Print_Area" localSheetId="2">Položky!$H$1:$M$92</definedName>
    <definedName name="_xlnm.Print_Area" localSheetId="3">'Porovnání sklad. a prodej. cen'!$A$1:$I$73</definedName>
    <definedName name="_xlnm.Print_Area" localSheetId="1">Účty!$A$1:$E$25</definedName>
    <definedName name="_xlnm.Print_Area" localSheetId="0">Výsledovka!$H$1:$L$72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5" l="1"/>
  <c r="J90" i="1" l="1"/>
  <c r="J88" i="1"/>
  <c r="J86" i="1"/>
  <c r="J84" i="1"/>
  <c r="J81" i="1"/>
  <c r="J80" i="1"/>
  <c r="J79" i="1"/>
  <c r="J77" i="1"/>
  <c r="J76" i="1"/>
  <c r="C248" i="1"/>
  <c r="C246" i="1"/>
  <c r="C244" i="1"/>
  <c r="C242" i="1"/>
  <c r="C240" i="1"/>
  <c r="C238" i="1"/>
  <c r="C237" i="1"/>
  <c r="C235" i="1"/>
  <c r="C233" i="1"/>
  <c r="C232" i="1"/>
  <c r="C231" i="1"/>
  <c r="C230" i="1"/>
  <c r="C229" i="1"/>
  <c r="C228" i="1"/>
  <c r="E9" i="4" l="1"/>
  <c r="E8" i="4" s="1"/>
  <c r="E45" i="4" s="1"/>
  <c r="B5" i="5"/>
  <c r="B25" i="5" s="1"/>
  <c r="L54" i="4"/>
  <c r="L67" i="4" s="1"/>
  <c r="L15" i="4"/>
  <c r="L9" i="4"/>
  <c r="L10" i="4"/>
  <c r="J14" i="1"/>
  <c r="J13" i="1"/>
  <c r="J31" i="1"/>
  <c r="J30" i="1"/>
  <c r="T11" i="6"/>
  <c r="T10" i="6"/>
  <c r="T9" i="6"/>
  <c r="T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29" i="6"/>
  <c r="S36" i="6"/>
  <c r="S65" i="6"/>
  <c r="S64" i="6"/>
  <c r="S63" i="6"/>
  <c r="S62" i="6"/>
  <c r="S55" i="6"/>
  <c r="S54" i="6"/>
  <c r="S46" i="6"/>
  <c r="S45" i="6"/>
  <c r="S44" i="6"/>
  <c r="S43" i="6"/>
  <c r="S42" i="6"/>
  <c r="S41" i="6"/>
  <c r="S40" i="6"/>
  <c r="S39" i="6"/>
  <c r="S38" i="6"/>
  <c r="S34" i="6"/>
  <c r="S32" i="6"/>
  <c r="S30" i="6"/>
  <c r="S21" i="6"/>
  <c r="S27" i="6"/>
  <c r="S26" i="6"/>
  <c r="S25" i="6"/>
  <c r="S24" i="6"/>
  <c r="S23" i="6"/>
  <c r="S22" i="6"/>
  <c r="S20" i="6"/>
  <c r="S61" i="6"/>
  <c r="S60" i="6"/>
  <c r="S59" i="6"/>
  <c r="S58" i="6"/>
  <c r="S57" i="6"/>
  <c r="S56" i="6"/>
  <c r="S53" i="6"/>
  <c r="S52" i="6"/>
  <c r="S51" i="6"/>
  <c r="S50" i="6"/>
  <c r="S49" i="6"/>
  <c r="S48" i="6"/>
  <c r="S47" i="6"/>
  <c r="S37" i="6"/>
  <c r="S35" i="6"/>
  <c r="S33" i="6"/>
  <c r="S31" i="6"/>
  <c r="S29" i="6"/>
  <c r="S19" i="6"/>
  <c r="S18" i="6"/>
  <c r="S17" i="6"/>
  <c r="S16" i="6"/>
  <c r="S15" i="6"/>
  <c r="S14" i="6"/>
  <c r="S13" i="6"/>
  <c r="S10" i="6"/>
  <c r="S11" i="6"/>
  <c r="S9" i="6"/>
  <c r="S8" i="6"/>
  <c r="J75" i="1"/>
  <c r="Q66" i="6"/>
  <c r="Q28" i="6"/>
  <c r="Q12" i="6"/>
  <c r="C55" i="1"/>
  <c r="C53" i="1"/>
  <c r="C52" i="1"/>
  <c r="C51" i="1"/>
  <c r="C50" i="1"/>
  <c r="C49" i="1"/>
  <c r="C48" i="1"/>
  <c r="C15" i="1"/>
  <c r="C21" i="1" s="1"/>
  <c r="E59" i="6"/>
  <c r="E66" i="6" s="1"/>
  <c r="E54" i="4"/>
  <c r="E67" i="4" s="1"/>
  <c r="C227" i="1"/>
  <c r="P66" i="6"/>
  <c r="P28" i="6"/>
  <c r="F66" i="6"/>
  <c r="H66" i="6"/>
  <c r="H25" i="6"/>
  <c r="F25" i="6"/>
  <c r="E25" i="6"/>
  <c r="O10" i="6"/>
  <c r="O9" i="6"/>
  <c r="O8" i="6"/>
  <c r="P12" i="6"/>
  <c r="P67" i="6" s="1"/>
  <c r="O11" i="6"/>
  <c r="C108" i="1"/>
  <c r="C96" i="1"/>
  <c r="H67" i="6" l="1"/>
  <c r="F67" i="6"/>
  <c r="L8" i="4"/>
  <c r="L45" i="4"/>
  <c r="L68" i="4"/>
  <c r="J91" i="1"/>
  <c r="J33" i="1"/>
  <c r="J16" i="1"/>
  <c r="C56" i="1"/>
  <c r="S28" i="6"/>
  <c r="S66" i="6"/>
  <c r="S12" i="6"/>
  <c r="J82" i="1"/>
  <c r="Q67" i="6"/>
  <c r="C236" i="1"/>
  <c r="C252" i="1"/>
  <c r="E67" i="6"/>
  <c r="E68" i="4"/>
  <c r="E69" i="4" s="1"/>
  <c r="D71" i="4" s="1"/>
  <c r="D72" i="4" s="1"/>
  <c r="S67" i="6" l="1"/>
</calcChain>
</file>

<file path=xl/sharedStrings.xml><?xml version="1.0" encoding="utf-8"?>
<sst xmlns="http://schemas.openxmlformats.org/spreadsheetml/2006/main" count="2006" uniqueCount="450">
  <si>
    <t>stř.834 Vinotéka</t>
  </si>
  <si>
    <t>Výkaz zisku a ztráty</t>
  </si>
  <si>
    <t>k 31.8.2025</t>
  </si>
  <si>
    <t>k 31.12.2024</t>
  </si>
  <si>
    <r>
      <t xml:space="preserve"> Příloha č.2 k vyhlášce č. </t>
    </r>
    <r>
      <rPr>
        <b/>
        <sz val="9"/>
        <rFont val="Calibri"/>
        <family val="2"/>
        <charset val="238"/>
      </rPr>
      <t>504/2002 Sb.</t>
    </r>
    <r>
      <rPr>
        <sz val="9"/>
        <rFont val="Calibri"/>
        <family val="2"/>
        <charset val="238"/>
      </rPr>
      <t xml:space="preserve"> ve znění pozdějších předpisů</t>
    </r>
  </si>
  <si>
    <r>
      <t xml:space="preserve"> Jednotlivé položky se vykazují v  Kč (</t>
    </r>
    <r>
      <rPr>
        <sz val="10"/>
        <rFont val="Calibri"/>
        <family val="2"/>
        <charset val="238"/>
      </rPr>
      <t>§4, odst.3</t>
    </r>
    <r>
      <rPr>
        <b/>
        <sz val="10"/>
        <rFont val="Calibri"/>
        <family val="2"/>
        <charset val="238"/>
      </rPr>
      <t>)</t>
    </r>
  </si>
  <si>
    <r>
      <t xml:space="preserve">účet / součet </t>
    </r>
    <r>
      <rPr>
        <sz val="8"/>
        <rFont val="Calibri"/>
        <family val="2"/>
        <charset val="238"/>
      </rPr>
      <t>(2)</t>
    </r>
  </si>
  <si>
    <r>
      <t xml:space="preserve">řádek </t>
    </r>
    <r>
      <rPr>
        <sz val="8"/>
        <rFont val="Calibri"/>
        <family val="2"/>
        <charset val="238"/>
      </rPr>
      <t>(3)</t>
    </r>
  </si>
  <si>
    <r>
      <t xml:space="preserve">hlavní činnost </t>
    </r>
    <r>
      <rPr>
        <sz val="10"/>
        <rFont val="Calibri"/>
        <family val="2"/>
        <charset val="238"/>
      </rPr>
      <t>(4)</t>
    </r>
  </si>
  <si>
    <r>
      <t xml:space="preserve">hospodářská/ doplňková činnost </t>
    </r>
    <r>
      <rPr>
        <sz val="10"/>
        <rFont val="Calibri"/>
        <family val="2"/>
        <charset val="238"/>
      </rPr>
      <t>(4)</t>
    </r>
  </si>
  <si>
    <t>A. Náklady</t>
  </si>
  <si>
    <t>sl. 1</t>
  </si>
  <si>
    <t>sl.2</t>
  </si>
  <si>
    <t xml:space="preserve">     I. Spotřebované nákupy a nakupované služby</t>
  </si>
  <si>
    <t>ř.2 až 7</t>
  </si>
  <si>
    <t>0001</t>
  </si>
  <si>
    <t xml:space="preserve">            1.Spotřeba materiálu, energie a ostatních neskladovaných dodávek</t>
  </si>
  <si>
    <t>501,502,503</t>
  </si>
  <si>
    <t>0002</t>
  </si>
  <si>
    <t xml:space="preserve">            2.Prodané zboží</t>
  </si>
  <si>
    <t>0003</t>
  </si>
  <si>
    <t xml:space="preserve">            3.Opravy a udržování</t>
  </si>
  <si>
    <t>0004</t>
  </si>
  <si>
    <t xml:space="preserve">            4.Náklady na cestovné</t>
  </si>
  <si>
    <t>0005</t>
  </si>
  <si>
    <t xml:space="preserve">            5.Náklady na reprezentaci</t>
  </si>
  <si>
    <t>0006</t>
  </si>
  <si>
    <t xml:space="preserve">            6.Ostatní služby</t>
  </si>
  <si>
    <t>0007</t>
  </si>
  <si>
    <t xml:space="preserve">     II.Změny stavu zásob vlastní činnosti a aktivace</t>
  </si>
  <si>
    <t>ř.9 až 11</t>
  </si>
  <si>
    <t>0008</t>
  </si>
  <si>
    <t xml:space="preserve">           7.Změna stavu zásob vlastní činnosti</t>
  </si>
  <si>
    <t>0009</t>
  </si>
  <si>
    <t xml:space="preserve">           8.Aktivace materiálu, zboží a vnitroorganizačních služeb</t>
  </si>
  <si>
    <t>0010</t>
  </si>
  <si>
    <t xml:space="preserve">           9.Aktivace dlouhodobého majetku</t>
  </si>
  <si>
    <t>0011</t>
  </si>
  <si>
    <t xml:space="preserve">     III.Osobní náklady </t>
  </si>
  <si>
    <t>ř.13 až 17</t>
  </si>
  <si>
    <t>0012</t>
  </si>
  <si>
    <t xml:space="preserve">           10.Mzdové náklady</t>
  </si>
  <si>
    <t>0013</t>
  </si>
  <si>
    <t xml:space="preserve">            11.Zákonné sociální pojištění</t>
  </si>
  <si>
    <t>0014</t>
  </si>
  <si>
    <t xml:space="preserve">            12.Ostatní sociální pojištění</t>
  </si>
  <si>
    <t>0015</t>
  </si>
  <si>
    <t xml:space="preserve">            13.Zákonné sociální náklady</t>
  </si>
  <si>
    <t>0016</t>
  </si>
  <si>
    <t xml:space="preserve">            14.Ostatní sociální náklady</t>
  </si>
  <si>
    <t>0017</t>
  </si>
  <si>
    <t xml:space="preserve">    IV.Daně a poplatky </t>
  </si>
  <si>
    <t xml:space="preserve">ř.19 </t>
  </si>
  <si>
    <t>0018</t>
  </si>
  <si>
    <t xml:space="preserve">            15.Daně a poplatky</t>
  </si>
  <si>
    <t>0019</t>
  </si>
  <si>
    <t xml:space="preserve">    V.Ostatní náklady </t>
  </si>
  <si>
    <t>ř.21 až 27</t>
  </si>
  <si>
    <t>0020</t>
  </si>
  <si>
    <t xml:space="preserve">            16.Smluvní pokuty a úroky z prodlení, ostatní pokuty a penále</t>
  </si>
  <si>
    <t>0021</t>
  </si>
  <si>
    <t xml:space="preserve">            17.Odpis nedobytné pohledávky</t>
  </si>
  <si>
    <t>0022</t>
  </si>
  <si>
    <t xml:space="preserve">            18.Nákladové úroky</t>
  </si>
  <si>
    <t>0023</t>
  </si>
  <si>
    <t xml:space="preserve">            19.Kursové ztráty</t>
  </si>
  <si>
    <t>0024</t>
  </si>
  <si>
    <t xml:space="preserve">            20.Dary</t>
  </si>
  <si>
    <t>0025</t>
  </si>
  <si>
    <t xml:space="preserve">            21.Manka a škody</t>
  </si>
  <si>
    <t>0026</t>
  </si>
  <si>
    <t xml:space="preserve">            22.Jiné ostatní náklady</t>
  </si>
  <si>
    <t>0027</t>
  </si>
  <si>
    <t xml:space="preserve">     VI.Odpisy, prodaný majetek, tvorba rezerv a opravných položek </t>
  </si>
  <si>
    <t>ř.29 až 33</t>
  </si>
  <si>
    <t>0028</t>
  </si>
  <si>
    <t xml:space="preserve">            23.Odpisy dlouhodobého majetku</t>
  </si>
  <si>
    <t>0029</t>
  </si>
  <si>
    <t xml:space="preserve">            24.Prodaný dlouhodobý majetek</t>
  </si>
  <si>
    <t>0030</t>
  </si>
  <si>
    <t xml:space="preserve">            25.Prodané cenné papíry a podíly</t>
  </si>
  <si>
    <t>0031</t>
  </si>
  <si>
    <t xml:space="preserve">            26.Prodaný materiál</t>
  </si>
  <si>
    <t>0032</t>
  </si>
  <si>
    <t xml:space="preserve">            27.Tvorba a použití  rezerv a opravných položek</t>
  </si>
  <si>
    <t>556,558,559</t>
  </si>
  <si>
    <t>0033</t>
  </si>
  <si>
    <t xml:space="preserve">     VII.Poskytnuté příspěvky celkem</t>
  </si>
  <si>
    <t>ř.35</t>
  </si>
  <si>
    <t>0034</t>
  </si>
  <si>
    <t xml:space="preserve">            28.Poskyt.členské příspěvky a příspěvky zúčt. mezi  organ. složkami</t>
  </si>
  <si>
    <t>0035</t>
  </si>
  <si>
    <t xml:space="preserve">     VIII.Daň z příjmů celkem</t>
  </si>
  <si>
    <t>ř.37</t>
  </si>
  <si>
    <t>0036</t>
  </si>
  <si>
    <t xml:space="preserve">            29.Daň z příjmů</t>
  </si>
  <si>
    <t>0037</t>
  </si>
  <si>
    <t>Náklady celkem</t>
  </si>
  <si>
    <t>ř.1+8+12+18+20+ 28+34+36</t>
  </si>
  <si>
    <t>0038</t>
  </si>
  <si>
    <t>B. Výnosy</t>
  </si>
  <si>
    <t xml:space="preserve">        I.Provozní dotace</t>
  </si>
  <si>
    <t xml:space="preserve">ř.41 </t>
  </si>
  <si>
    <t>0040</t>
  </si>
  <si>
    <t xml:space="preserve">             1.Provozní dotace</t>
  </si>
  <si>
    <t>0041</t>
  </si>
  <si>
    <t xml:space="preserve">      II.Přijaté příspěvky </t>
  </si>
  <si>
    <t>ř.43 až 45</t>
  </si>
  <si>
    <t>0042</t>
  </si>
  <si>
    <t xml:space="preserve">             2.Přijaté příspěvky zúčtované mezi organizačními složkami</t>
  </si>
  <si>
    <t>0043</t>
  </si>
  <si>
    <t xml:space="preserve">            3.Přijaté příspěvky (dary)</t>
  </si>
  <si>
    <t>0044</t>
  </si>
  <si>
    <t xml:space="preserve">             4.Přijaté členské příspěvky</t>
  </si>
  <si>
    <t>0045</t>
  </si>
  <si>
    <t xml:space="preserve">        III.Tržby za vlastní výkony a za zboží celkem</t>
  </si>
  <si>
    <t>601,602,604</t>
  </si>
  <si>
    <t>0046</t>
  </si>
  <si>
    <t xml:space="preserve">        IV.Ostatní výnosy celkem</t>
  </si>
  <si>
    <t>ř.48 až 53</t>
  </si>
  <si>
    <t>0047</t>
  </si>
  <si>
    <t xml:space="preserve">             5.Smluvní pokuty, úroky z prodlení, ostatní pokuty a penále</t>
  </si>
  <si>
    <t>0048</t>
  </si>
  <si>
    <t xml:space="preserve">             6.Platby za odepsané pohledávky</t>
  </si>
  <si>
    <t>0049</t>
  </si>
  <si>
    <t xml:space="preserve">             7.Výnosové úroky</t>
  </si>
  <si>
    <t>0050</t>
  </si>
  <si>
    <t xml:space="preserve">             8.Kursové zisky</t>
  </si>
  <si>
    <t>0051</t>
  </si>
  <si>
    <t xml:space="preserve">             9.Zúčtování fondů</t>
  </si>
  <si>
    <t>0052</t>
  </si>
  <si>
    <t xml:space="preserve">             10.Jiné ostatní výnosy</t>
  </si>
  <si>
    <t>0053</t>
  </si>
  <si>
    <t xml:space="preserve">       V.Tržby z prodeje majetku</t>
  </si>
  <si>
    <t>ř.55 až 59</t>
  </si>
  <si>
    <t>0054</t>
  </si>
  <si>
    <t xml:space="preserve">             11.Tržby z prodeje dlouh. nehmotného a hmotného majetku</t>
  </si>
  <si>
    <t>0055</t>
  </si>
  <si>
    <t xml:space="preserve">             12.Tržby z prodeje cenných papírů a podílů</t>
  </si>
  <si>
    <t>0056</t>
  </si>
  <si>
    <t xml:space="preserve">             13.Tržby z prodeje materiálu</t>
  </si>
  <si>
    <t>0057</t>
  </si>
  <si>
    <t xml:space="preserve">             14.Výnosy z krátkodobého finančního majetku</t>
  </si>
  <si>
    <t>0058</t>
  </si>
  <si>
    <t xml:space="preserve">             15.Výnosy z dlouhodobého finančního majetku</t>
  </si>
  <si>
    <t>0059</t>
  </si>
  <si>
    <t>Výnosy celkem</t>
  </si>
  <si>
    <t xml:space="preserve">ř.40+42+46+47+54 </t>
  </si>
  <si>
    <t>0060</t>
  </si>
  <si>
    <t>C. Výsledek hospodaření před zdaněním</t>
  </si>
  <si>
    <t>ř.60 - 38+36</t>
  </si>
  <si>
    <t>0061</t>
  </si>
  <si>
    <t>D. Výsledek hospodaření po zdanění</t>
  </si>
  <si>
    <t>ř.61 - 36</t>
  </si>
  <si>
    <t>0062</t>
  </si>
  <si>
    <t>hlavní + hospodářská činnost</t>
  </si>
  <si>
    <t xml:space="preserve"> Výsledek hospodaření před zdaněním celkem</t>
  </si>
  <si>
    <t>ř.61/sl.1+61/sl.2</t>
  </si>
  <si>
    <t>0063</t>
  </si>
  <si>
    <t xml:space="preserve"> Výsledek hospodaření po zdanění celkem</t>
  </si>
  <si>
    <t>ř.62/sl.1+62/sl.2</t>
  </si>
  <si>
    <t>0064</t>
  </si>
  <si>
    <t>1-8/2025</t>
  </si>
  <si>
    <t>9-12/2024</t>
  </si>
  <si>
    <t>Druhové členění nákladů a výnosů</t>
  </si>
  <si>
    <t>Skutečnost</t>
  </si>
  <si>
    <t>501100 Všeobecný materiál                     .</t>
  </si>
  <si>
    <t>501120 Materiál na údržbu a opravy</t>
  </si>
  <si>
    <t>501600 Potraviny</t>
  </si>
  <si>
    <t>504100 Prodané zboží</t>
  </si>
  <si>
    <t>501500 Drobný hmotný majetek</t>
  </si>
  <si>
    <t>502102 Elektrická energie-vnitro dodávky</t>
  </si>
  <si>
    <t>502202 Voda-vnitrododávky</t>
  </si>
  <si>
    <t>502302 Pára-vnitrododávky</t>
  </si>
  <si>
    <t>521100 Mzdy</t>
  </si>
  <si>
    <t>511100 Opravy a udržování</t>
  </si>
  <si>
    <t>521222 Dohody ostatní - bezpojišť.</t>
  </si>
  <si>
    <t>518500 Ostatni služby</t>
  </si>
  <si>
    <t>524100 Zdravotní pojištění</t>
  </si>
  <si>
    <t>524200 Sociální pojištění</t>
  </si>
  <si>
    <t>527200 Preventivní lékařské prohlídky</t>
  </si>
  <si>
    <t>549500 Ostatní</t>
  </si>
  <si>
    <t>549510 Ostatní poplatky a provize</t>
  </si>
  <si>
    <t>527110 Příspěvek na stravenky</t>
  </si>
  <si>
    <t>549600 Úrazové pojištění</t>
  </si>
  <si>
    <t>549110 Základní příděl do soc.fondu</t>
  </si>
  <si>
    <t>572300 Aktiv.služeb za stravování</t>
  </si>
  <si>
    <t>604100 Tržby prodané zboží</t>
  </si>
  <si>
    <t>602290 Stravování cizí</t>
  </si>
  <si>
    <t/>
  </si>
  <si>
    <t>Účet hlavní knihy</t>
  </si>
  <si>
    <t>Popis položky účtu hlavní knihy</t>
  </si>
  <si>
    <r>
      <t xml:space="preserve">Částka </t>
    </r>
    <r>
      <rPr>
        <sz val="10"/>
        <color rgb="FFFF0000"/>
        <rFont val="Arial"/>
        <family val="2"/>
        <charset val="238"/>
      </rPr>
      <t>v Kč</t>
    </r>
  </si>
  <si>
    <t>Datum účtování</t>
  </si>
  <si>
    <t>Rok/měsíc</t>
  </si>
  <si>
    <t>Text</t>
  </si>
  <si>
    <r>
      <t xml:space="preserve">Částka v </t>
    </r>
    <r>
      <rPr>
        <sz val="10"/>
        <color rgb="FFFF0000"/>
        <rFont val="Arial"/>
        <family val="2"/>
        <charset val="238"/>
      </rPr>
      <t>Kč</t>
    </r>
  </si>
  <si>
    <t>501100</t>
  </si>
  <si>
    <t>Všeobecný materiál</t>
  </si>
  <si>
    <t>2025/04</t>
  </si>
  <si>
    <t>Inventář</t>
  </si>
  <si>
    <t>2024/09</t>
  </si>
  <si>
    <t>Inventář pro akad.vinotéku</t>
  </si>
  <si>
    <t>2025/08</t>
  </si>
  <si>
    <t>infotabule 1200x900</t>
  </si>
  <si>
    <t>2024/12</t>
  </si>
  <si>
    <t>jídelní lístek, sáčky na párek</t>
  </si>
  <si>
    <t>infotabule 600x450</t>
  </si>
  <si>
    <t>vakuovací zátky 2 ks</t>
  </si>
  <si>
    <t>2025/07</t>
  </si>
  <si>
    <t>sedáky, koš na prádlo</t>
  </si>
  <si>
    <t>palety</t>
  </si>
  <si>
    <t>501500</t>
  </si>
  <si>
    <t>Drobný hmotný majetek</t>
  </si>
  <si>
    <t>čtečka karet</t>
  </si>
  <si>
    <t>mobil Xiaomi Redmi 13</t>
  </si>
  <si>
    <t>501120</t>
  </si>
  <si>
    <t>Spotřeba materiálu údržba</t>
  </si>
  <si>
    <t>2025/06</t>
  </si>
  <si>
    <t>deky na vinotéku</t>
  </si>
  <si>
    <t>2024/08</t>
  </si>
  <si>
    <t>PC Lenovo M75s Gen5+ Cpe</t>
  </si>
  <si>
    <t>konev, hnojivo</t>
  </si>
  <si>
    <t>pokladní tiskárna</t>
  </si>
  <si>
    <t>letničky</t>
  </si>
  <si>
    <t>vakuovací pumpa el.</t>
  </si>
  <si>
    <t>zahradní nábytek</t>
  </si>
  <si>
    <t>501600</t>
  </si>
  <si>
    <t>Potraviny</t>
  </si>
  <si>
    <t>2024/10</t>
  </si>
  <si>
    <t>spotřeba potravin měsíční</t>
  </si>
  <si>
    <t>2024/11</t>
  </si>
  <si>
    <t>2025/01</t>
  </si>
  <si>
    <t>2025/02</t>
  </si>
  <si>
    <t>2025/03</t>
  </si>
  <si>
    <t>502102</t>
  </si>
  <si>
    <t>Elektrická energie</t>
  </si>
  <si>
    <t>elektrická energie 10/24</t>
  </si>
  <si>
    <t>2025/05</t>
  </si>
  <si>
    <t>elektrická energie 11/24</t>
  </si>
  <si>
    <t>elektrická energie 12/24</t>
  </si>
  <si>
    <t>502202</t>
  </si>
  <si>
    <t>Voda</t>
  </si>
  <si>
    <t>voda 10/24</t>
  </si>
  <si>
    <t>elektrická energie 2/25</t>
  </si>
  <si>
    <t>voda 11/24</t>
  </si>
  <si>
    <t>elektrická energie 3/25</t>
  </si>
  <si>
    <t>vodné, stočné 12/24</t>
  </si>
  <si>
    <t>elektrická energie 4/25</t>
  </si>
  <si>
    <t>elektrická energie 5/25</t>
  </si>
  <si>
    <t>502302</t>
  </si>
  <si>
    <t>Pára</t>
  </si>
  <si>
    <t>teplo</t>
  </si>
  <si>
    <t>elektrická energie 6/25</t>
  </si>
  <si>
    <t>teplo 11/24</t>
  </si>
  <si>
    <t>elektrická energie 7/25</t>
  </si>
  <si>
    <t>teplo 12/24</t>
  </si>
  <si>
    <t>elektrická energie 8/25</t>
  </si>
  <si>
    <t>504100</t>
  </si>
  <si>
    <t>Prodané zboží</t>
  </si>
  <si>
    <t>spotřeba zboží měsíční</t>
  </si>
  <si>
    <t>vodné, stočné 1/25</t>
  </si>
  <si>
    <t>vodné,stočné 2/25</t>
  </si>
  <si>
    <t>vodné, stočné 3/25</t>
  </si>
  <si>
    <t>vodné, stočné 4/25</t>
  </si>
  <si>
    <t>vodné, stočné 5/25</t>
  </si>
  <si>
    <t>521100</t>
  </si>
  <si>
    <t>Mzdy</t>
  </si>
  <si>
    <t>1805</t>
  </si>
  <si>
    <t>vodné, stočné 6/25</t>
  </si>
  <si>
    <t>vodné, stočné 7/25</t>
  </si>
  <si>
    <t>vodné, stočné 8/25</t>
  </si>
  <si>
    <t>521222</t>
  </si>
  <si>
    <t>Dohody ostatní - bez pojištění</t>
  </si>
  <si>
    <t>1811</t>
  </si>
  <si>
    <t>teplo 8/25</t>
  </si>
  <si>
    <t>teplo 1/25</t>
  </si>
  <si>
    <t>teplo 2/25</t>
  </si>
  <si>
    <t>teplo 3/25</t>
  </si>
  <si>
    <t>teplo 4/25</t>
  </si>
  <si>
    <t>524100</t>
  </si>
  <si>
    <t>1814</t>
  </si>
  <si>
    <t>524200</t>
  </si>
  <si>
    <t>1815</t>
  </si>
  <si>
    <t>teplo 7/25</t>
  </si>
  <si>
    <t>527200</t>
  </si>
  <si>
    <t>výpis ze zdr.dokumentace</t>
  </si>
  <si>
    <t>lékařská prohlídka</t>
  </si>
  <si>
    <t>549500</t>
  </si>
  <si>
    <t>Ostaní náklady</t>
  </si>
  <si>
    <t>hal.vyrovnání</t>
  </si>
  <si>
    <t>549510</t>
  </si>
  <si>
    <t>Ostatní poplatky a provize</t>
  </si>
  <si>
    <t>poplatek platba kartou</t>
  </si>
  <si>
    <t>511100</t>
  </si>
  <si>
    <t>Opravy a údržování</t>
  </si>
  <si>
    <t>oprava boční branky</t>
  </si>
  <si>
    <t>výroba vstupní branky</t>
  </si>
  <si>
    <t>Opravy na vinotéce</t>
  </si>
  <si>
    <t>518500</t>
  </si>
  <si>
    <t>Ostatní služby</t>
  </si>
  <si>
    <t>instalace bezpečnostní vazby</t>
  </si>
  <si>
    <t>přesun betonového nábytku</t>
  </si>
  <si>
    <t>grafické práce</t>
  </si>
  <si>
    <t>oprava zdroje</t>
  </si>
  <si>
    <t>549600</t>
  </si>
  <si>
    <t>Úrazové pojištění</t>
  </si>
  <si>
    <t>úrazové pojištění</t>
  </si>
  <si>
    <t>mzda-dovolená</t>
  </si>
  <si>
    <t>572300</t>
  </si>
  <si>
    <t>Aktivace služeb za stravování</t>
  </si>
  <si>
    <r>
      <t xml:space="preserve">občerstvení LDF </t>
    </r>
    <r>
      <rPr>
        <sz val="10"/>
        <color rgb="FFFF0000"/>
        <rFont val="Arial"/>
        <family val="2"/>
        <charset val="238"/>
      </rPr>
      <t>MENDELU</t>
    </r>
    <r>
      <rPr>
        <sz val="10"/>
        <rFont val="Arial"/>
        <family val="2"/>
        <charset val="238"/>
      </rPr>
      <t xml:space="preserve"> - vinotéka</t>
    </r>
  </si>
  <si>
    <r>
      <t xml:space="preserve">občerstvení OIT </t>
    </r>
    <r>
      <rPr>
        <sz val="10"/>
        <color rgb="FFFF0000"/>
        <rFont val="Arial"/>
        <family val="2"/>
        <charset val="238"/>
      </rPr>
      <t>MENDELU</t>
    </r>
  </si>
  <si>
    <t>mzda 7/25 oprava zdroj</t>
  </si>
  <si>
    <r>
      <t xml:space="preserve">občerstvení rektorát </t>
    </r>
    <r>
      <rPr>
        <sz val="10"/>
        <color rgb="FFFF0000"/>
        <rFont val="Arial"/>
        <family val="2"/>
        <charset val="238"/>
      </rPr>
      <t>MENDELU</t>
    </r>
  </si>
  <si>
    <t>mzda 8/25oprava zdroj</t>
  </si>
  <si>
    <t>602290</t>
  </si>
  <si>
    <t>Stravování cizí</t>
  </si>
  <si>
    <t>Spolek studentské unie PE,stravování cizí základní</t>
  </si>
  <si>
    <t>vlastní výroba DČ</t>
  </si>
  <si>
    <t>akce DČ</t>
  </si>
  <si>
    <t>604100</t>
  </si>
  <si>
    <t>Tržby za prodané zboží</t>
  </si>
  <si>
    <t>prodej zboží - vinotéka</t>
  </si>
  <si>
    <t>Zdravotní pojištění</t>
  </si>
  <si>
    <t>ZP7/25 oprava zdroj</t>
  </si>
  <si>
    <t>ZP 8/25 oprava zdroj</t>
  </si>
  <si>
    <t>Sociální pojištění</t>
  </si>
  <si>
    <t>SP7/25 oprava zdroj</t>
  </si>
  <si>
    <t>SP 8/25 oprava zdroj</t>
  </si>
  <si>
    <t>527110</t>
  </si>
  <si>
    <t>Příspěvek na stravenky</t>
  </si>
  <si>
    <t>EDENRED stravenky</t>
  </si>
  <si>
    <t>549110</t>
  </si>
  <si>
    <t>Základ.příděl do soc.fondu</t>
  </si>
  <si>
    <t>tvorba soc.fondu</t>
  </si>
  <si>
    <t>haléřové vyrovnání</t>
  </si>
  <si>
    <t>popl. za platbu kartou</t>
  </si>
  <si>
    <t>poplatek karta</t>
  </si>
  <si>
    <r>
      <t xml:space="preserve">občerstvení FRRMS </t>
    </r>
    <r>
      <rPr>
        <sz val="10"/>
        <color rgb="FFFF0000"/>
        <rFont val="Arial"/>
        <family val="2"/>
        <charset val="238"/>
      </rPr>
      <t>MENDELU</t>
    </r>
  </si>
  <si>
    <r>
      <t xml:space="preserve">občerstvení PEF </t>
    </r>
    <r>
      <rPr>
        <sz val="10"/>
        <color rgb="FFFF0000"/>
        <rFont val="Arial"/>
        <family val="2"/>
        <charset val="238"/>
      </rPr>
      <t>MENDELU</t>
    </r>
  </si>
  <si>
    <r>
      <t xml:space="preserve">občerstvení LDF </t>
    </r>
    <r>
      <rPr>
        <sz val="10"/>
        <color rgb="FFFF0000"/>
        <rFont val="Arial"/>
        <family val="2"/>
        <charset val="238"/>
      </rPr>
      <t>MENDELU</t>
    </r>
  </si>
  <si>
    <t>akce vinotéka</t>
  </si>
  <si>
    <t>účet 572300</t>
  </si>
  <si>
    <t>náklady</t>
  </si>
  <si>
    <t xml:space="preserve">výnosy </t>
  </si>
  <si>
    <t>jsme plátci DPH</t>
  </si>
  <si>
    <t>spotřeba potravin a zboží je v cenách bez DPH</t>
  </si>
  <si>
    <t>výnosy jsou bez DPH</t>
  </si>
  <si>
    <t>Porovnání skladových a prodejních cen</t>
  </si>
  <si>
    <t>Datum:</t>
  </si>
  <si>
    <t>01.01.2025 - 31.08.2025</t>
  </si>
  <si>
    <t>01.09.2024 - 31.12.2024</t>
  </si>
  <si>
    <t>Provozy:</t>
  </si>
  <si>
    <t>Vinotéka</t>
  </si>
  <si>
    <t>Komodita</t>
  </si>
  <si>
    <t>Jedn.</t>
  </si>
  <si>
    <t>Vydáno</t>
  </si>
  <si>
    <t>Prům.nákup.cena</t>
  </si>
  <si>
    <t>Nákup.cena celkem</t>
  </si>
  <si>
    <t>Prodejní cena celkem</t>
  </si>
  <si>
    <t>Prodejní cena průměrná</t>
  </si>
  <si>
    <t>bez DPH</t>
  </si>
  <si>
    <t>vč.DPH</t>
  </si>
  <si>
    <t>% DPH</t>
  </si>
  <si>
    <t>AKC 21% Občerstvení 30 Kč 21%</t>
  </si>
  <si>
    <t>por</t>
  </si>
  <si>
    <t>AKC 21% Občerstvení  21%</t>
  </si>
  <si>
    <t>AKC   Občerstvení 130,- Kč</t>
  </si>
  <si>
    <t>AKC   Občerstvení studené kuchyně</t>
  </si>
  <si>
    <t>AKC   Občerstvení 100,- Kč</t>
  </si>
  <si>
    <t>Celkem akce</t>
  </si>
  <si>
    <t>AKC   Občerstvení teplé kuchyně</t>
  </si>
  <si>
    <t>DS     Chléb s cibulovým sádlem</t>
  </si>
  <si>
    <t>DS     Chléb se pikantními škvarky</t>
  </si>
  <si>
    <t>DS     Croissant sladký mini plněný pečený 40g</t>
  </si>
  <si>
    <t>ks</t>
  </si>
  <si>
    <t>DS     Chléb se škvarky</t>
  </si>
  <si>
    <t>DS     Kanapka - mix druhů</t>
  </si>
  <si>
    <t>DS     Karafa  s vodou 1l</t>
  </si>
  <si>
    <t>DS     Karlův pecen ( krájený ) - váha</t>
  </si>
  <si>
    <t>DS 21  Čaj Ahmad vařený - mix</t>
  </si>
  <si>
    <t>DS 21  Káva Capuccino GAGIA</t>
  </si>
  <si>
    <t>DS 21  Káva Espresso GAGGIA 40ml</t>
  </si>
  <si>
    <t>DS 21  Káva Flat white GAGGIA</t>
  </si>
  <si>
    <t>DS 21  Káva Latte macchiatto GAGGIA</t>
  </si>
  <si>
    <t>DS 21  Káva Lungo GAGGIA 90ml</t>
  </si>
  <si>
    <t>DS 21  Káva Lungo s mlékem GAGGIA</t>
  </si>
  <si>
    <t>Celkem DS</t>
  </si>
  <si>
    <t>Z     Cappy 0,25 l sklo - mix příchutí</t>
  </si>
  <si>
    <t>Z     Coca-Cola 0,2 l sklo - classic, zero</t>
  </si>
  <si>
    <t>DS 21  Káva Macchiatto GAGGIA</t>
  </si>
  <si>
    <t>Z     Fanta 0,2 l sklo</t>
  </si>
  <si>
    <t>Z     Natura přírodní 0,3 l sklo - mix</t>
  </si>
  <si>
    <t>Z     Alpská klobása - Hadač</t>
  </si>
  <si>
    <t>kg</t>
  </si>
  <si>
    <t>Z     Tonic kinley 0,25 l sklo - mix</t>
  </si>
  <si>
    <t>Z  Svatomartinské víno 1dcl rozlévané</t>
  </si>
  <si>
    <t>nakoupeno od jiných součástí univerzity</t>
  </si>
  <si>
    <t>Z     Cibulové sádlo 100g</t>
  </si>
  <si>
    <t>Z  Víno DOCTOR 1dcl rozlévané</t>
  </si>
  <si>
    <t>Z  Víno PROFESOR 1dcl rozlévané</t>
  </si>
  <si>
    <t>Z     Čabajská klobása - Hadač</t>
  </si>
  <si>
    <t>Z  Víno STUDENT 1dcl rozlévané</t>
  </si>
  <si>
    <t>Z     Hovězí chipsy salám - Hadač</t>
  </si>
  <si>
    <t>Z     Bohemia Chips mix příchutí 60g</t>
  </si>
  <si>
    <t>Z     Chilli klobása - Hadač</t>
  </si>
  <si>
    <t>Z     Kapucín</t>
  </si>
  <si>
    <t>Z     Krabice - víno 1 láhev</t>
  </si>
  <si>
    <t>Z     Hospodské brambůrky 80g</t>
  </si>
  <si>
    <t>Z     Krabice - víno 2 láhve</t>
  </si>
  <si>
    <t>Z     MV Svatomartinské 0,75l</t>
  </si>
  <si>
    <t>Z     Ivančická suchá klobása</t>
  </si>
  <si>
    <t>Z     MV Víno 0,7l Doctor Lednice</t>
  </si>
  <si>
    <t>Z     Ivančický salám prémiový</t>
  </si>
  <si>
    <t>Z     MV Víno 0,7l Profesor Lednice</t>
  </si>
  <si>
    <t>Z     MV Víno 0,7l Student Lednice</t>
  </si>
  <si>
    <t>Z     MV Víno Žabčice 0,7l 160,- Kč</t>
  </si>
  <si>
    <t>Z     MV Víno Žabčice 0,7l 220,- Kč</t>
  </si>
  <si>
    <t>Z     Pečínkové sádlo se škvarky 200g - Hadač</t>
  </si>
  <si>
    <t>Z     Sádlo se škvarky 250g</t>
  </si>
  <si>
    <t>Z     Spišská klobása - Hadač</t>
  </si>
  <si>
    <t>Z     Škvarková pomazánka 250g</t>
  </si>
  <si>
    <t>Z     Škvarkové sádlo s bylinkami 200g - Hadač</t>
  </si>
  <si>
    <t>Z     Paštiky Trio 75g</t>
  </si>
  <si>
    <t>Z     Škvarky</t>
  </si>
  <si>
    <t>Z     Škvarky kořeněné</t>
  </si>
  <si>
    <t>Z     Pivo 10 Radegast 0,5 l plech</t>
  </si>
  <si>
    <t>Z     Taška na víno papírová</t>
  </si>
  <si>
    <t>Z     Vídeňská krkovice - Hadač</t>
  </si>
  <si>
    <t>Z     Strážnické  brambůrky 60g</t>
  </si>
  <si>
    <t>Z     Vídeňská pečeně - Hadač</t>
  </si>
  <si>
    <t>Z     Vídeňský bok - Hadač</t>
  </si>
  <si>
    <t>Z    Donut Mr.Cake 130g - mix druhů</t>
  </si>
  <si>
    <t>Z    Kostka Mr. Cake 100g - mix druhů</t>
  </si>
  <si>
    <t>Z    Srdcovka Mr. Cake 110 g - mix druhů</t>
  </si>
  <si>
    <t>Z     Víno slámové 0,2l - Žabčice - 320,- kč</t>
  </si>
  <si>
    <t>Celkem prodej</t>
  </si>
  <si>
    <t>Celkem</t>
  </si>
  <si>
    <t>Poznámky</t>
  </si>
  <si>
    <t>AKC</t>
  </si>
  <si>
    <t>akce vč. občerstvení připravené na menze</t>
  </si>
  <si>
    <t>572300,602290</t>
  </si>
  <si>
    <t>DS</t>
  </si>
  <si>
    <t>vlastní výroba - výroba ze surovin - vařená káva apod.</t>
  </si>
  <si>
    <t>Z</t>
  </si>
  <si>
    <t>prodej zboží</t>
  </si>
  <si>
    <t>občerstvení vrámci Mendelu - účtuje se jako snížení nákladů a je tudíž považován za výnos</t>
  </si>
  <si>
    <t>Barevné označení nákupu od jiných organizačních součástí univerzity</t>
  </si>
  <si>
    <t>účet hlavni knihy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</si>
</sst>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č&quot;_-;\-* #,##0.00\ &quot;Kč&quot;_-;_-* &quot;-&quot;??\ &quot;Kč&quot;_-;_-@_-"/>
    <numFmt numFmtId="165" formatCode="_-* #,##0.00_-;\-* #,##0.00_-;_-* &quot;-&quot;??_-;_-@_-"/>
  </numFmts>
  <fonts count="1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48"/>
      <name val="Calibri"/>
      <family val="2"/>
      <charset val="238"/>
    </font>
    <font>
      <sz val="10"/>
      <color rgb="FF0070C0"/>
      <name val="Calibri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</cellStyleXfs>
  <cellXfs count="14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4" fontId="0" fillId="4" borderId="1" xfId="0" applyNumberFormat="1" applyFill="1" applyBorder="1" applyAlignment="1">
      <alignment horizontal="right" vertical="top"/>
    </xf>
    <xf numFmtId="1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64" fontId="0" fillId="0" borderId="0" xfId="1" applyFont="1" applyAlignment="1">
      <alignment vertical="top"/>
    </xf>
    <xf numFmtId="0" fontId="14" fillId="0" borderId="3" xfId="5" applyFont="1" applyBorder="1" applyAlignment="1">
      <alignment horizontal="left" vertical="center"/>
    </xf>
    <xf numFmtId="49" fontId="14" fillId="0" borderId="6" xfId="5" applyNumberFormat="1" applyFont="1" applyBorder="1" applyAlignment="1">
      <alignment horizontal="center" vertical="center" wrapText="1"/>
    </xf>
    <xf numFmtId="49" fontId="14" fillId="0" borderId="7" xfId="5" applyNumberFormat="1" applyFont="1" applyBorder="1" applyAlignment="1">
      <alignment horizontal="center" vertical="center" wrapText="1"/>
    </xf>
    <xf numFmtId="3" fontId="14" fillId="0" borderId="7" xfId="5" applyNumberFormat="1" applyFont="1" applyBorder="1" applyAlignment="1">
      <alignment horizontal="center" vertical="center" wrapText="1"/>
    </xf>
    <xf numFmtId="3" fontId="14" fillId="0" borderId="8" xfId="5" applyNumberFormat="1" applyFont="1" applyBorder="1" applyAlignment="1">
      <alignment horizontal="center" vertical="center" wrapText="1"/>
    </xf>
    <xf numFmtId="0" fontId="14" fillId="0" borderId="9" xfId="5" applyFont="1" applyBorder="1" applyAlignment="1">
      <alignment vertical="center" wrapText="1"/>
    </xf>
    <xf numFmtId="3" fontId="14" fillId="0" borderId="12" xfId="5" applyNumberFormat="1" applyFont="1" applyBorder="1" applyAlignment="1">
      <alignment horizontal="center" vertical="center" wrapText="1"/>
    </xf>
    <xf numFmtId="3" fontId="14" fillId="0" borderId="13" xfId="5" applyNumberFormat="1" applyFont="1" applyBorder="1" applyAlignment="1">
      <alignment horizontal="center" vertical="center" wrapText="1"/>
    </xf>
    <xf numFmtId="0" fontId="10" fillId="0" borderId="14" xfId="5" applyFont="1" applyBorder="1" applyAlignment="1">
      <alignment vertical="center" wrapText="1"/>
    </xf>
    <xf numFmtId="0" fontId="10" fillId="0" borderId="15" xfId="5" applyFont="1" applyBorder="1" applyAlignment="1">
      <alignment horizontal="center" vertical="center"/>
    </xf>
    <xf numFmtId="49" fontId="10" fillId="0" borderId="16" xfId="5" applyNumberFormat="1" applyFont="1" applyBorder="1" applyAlignment="1">
      <alignment horizontal="center" vertical="center"/>
    </xf>
    <xf numFmtId="3" fontId="15" fillId="0" borderId="16" xfId="5" applyNumberFormat="1" applyFont="1" applyBorder="1" applyAlignment="1">
      <alignment horizontal="center" vertical="center"/>
    </xf>
    <xf numFmtId="3" fontId="15" fillId="0" borderId="17" xfId="5" applyNumberFormat="1" applyFont="1" applyBorder="1" applyAlignment="1">
      <alignment horizontal="center" vertical="center"/>
    </xf>
    <xf numFmtId="0" fontId="10" fillId="0" borderId="18" xfId="5" applyFont="1" applyBorder="1" applyAlignment="1">
      <alignment vertical="center" wrapText="1"/>
    </xf>
    <xf numFmtId="0" fontId="10" fillId="0" borderId="19" xfId="5" applyFont="1" applyBorder="1" applyAlignment="1">
      <alignment horizontal="center" vertical="center"/>
    </xf>
    <xf numFmtId="49" fontId="10" fillId="0" borderId="1" xfId="5" applyNumberFormat="1" applyFont="1" applyBorder="1" applyAlignment="1">
      <alignment horizontal="center" vertical="center"/>
    </xf>
    <xf numFmtId="3" fontId="10" fillId="0" borderId="1" xfId="5" applyNumberFormat="1" applyFont="1" applyBorder="1" applyAlignment="1" applyProtection="1">
      <alignment horizontal="center" vertical="center"/>
      <protection locked="0"/>
    </xf>
    <xf numFmtId="3" fontId="10" fillId="0" borderId="20" xfId="5" applyNumberFormat="1" applyFont="1" applyBorder="1" applyAlignment="1" applyProtection="1">
      <alignment horizontal="center" vertical="center"/>
      <protection locked="0"/>
    </xf>
    <xf numFmtId="3" fontId="15" fillId="0" borderId="20" xfId="5" applyNumberFormat="1" applyFont="1" applyBorder="1" applyAlignment="1">
      <alignment horizontal="center" vertical="center"/>
    </xf>
    <xf numFmtId="3" fontId="15" fillId="0" borderId="1" xfId="5" applyNumberFormat="1" applyFont="1" applyBorder="1" applyAlignment="1">
      <alignment horizontal="center" vertical="center"/>
    </xf>
    <xf numFmtId="0" fontId="10" fillId="0" borderId="21" xfId="5" applyFont="1" applyBorder="1" applyAlignment="1">
      <alignment vertical="center" wrapText="1"/>
    </xf>
    <xf numFmtId="0" fontId="10" fillId="0" borderId="22" xfId="5" applyFont="1" applyBorder="1" applyAlignment="1">
      <alignment horizontal="center" vertical="center" wrapText="1"/>
    </xf>
    <xf numFmtId="3" fontId="15" fillId="0" borderId="23" xfId="5" applyNumberFormat="1" applyFont="1" applyBorder="1" applyAlignment="1">
      <alignment horizontal="center" vertical="center"/>
    </xf>
    <xf numFmtId="3" fontId="15" fillId="0" borderId="24" xfId="5" applyNumberFormat="1" applyFont="1" applyBorder="1" applyAlignment="1">
      <alignment horizontal="center" vertical="center"/>
    </xf>
    <xf numFmtId="0" fontId="10" fillId="0" borderId="25" xfId="5" applyFont="1" applyBorder="1" applyAlignment="1">
      <alignment horizontal="center" vertical="center"/>
    </xf>
    <xf numFmtId="3" fontId="15" fillId="0" borderId="13" xfId="5" applyNumberFormat="1" applyFont="1" applyBorder="1" applyAlignment="1">
      <alignment horizontal="center" vertical="center"/>
    </xf>
    <xf numFmtId="0" fontId="10" fillId="0" borderId="26" xfId="5" applyFont="1" applyBorder="1" applyAlignment="1">
      <alignment horizontal="center" vertical="center"/>
    </xf>
    <xf numFmtId="49" fontId="10" fillId="0" borderId="1" xfId="5" applyNumberFormat="1" applyFont="1" applyBorder="1" applyAlignment="1" applyProtection="1">
      <alignment horizontal="center" vertical="center"/>
      <protection locked="0"/>
    </xf>
    <xf numFmtId="0" fontId="10" fillId="0" borderId="27" xfId="5" applyFont="1" applyBorder="1" applyAlignment="1">
      <alignment horizontal="center" vertical="center" wrapText="1"/>
    </xf>
    <xf numFmtId="3" fontId="16" fillId="0" borderId="20" xfId="5" applyNumberFormat="1" applyFont="1" applyBorder="1" applyAlignment="1">
      <alignment horizontal="center" vertical="center"/>
    </xf>
    <xf numFmtId="0" fontId="10" fillId="0" borderId="27" xfId="5" applyFont="1" applyBorder="1" applyAlignment="1">
      <alignment horizontal="center" vertical="center"/>
    </xf>
    <xf numFmtId="3" fontId="15" fillId="0" borderId="1" xfId="5" applyNumberFormat="1" applyFont="1" applyBorder="1" applyAlignment="1" applyProtection="1">
      <alignment horizontal="center" vertical="center"/>
      <protection locked="0"/>
    </xf>
    <xf numFmtId="3" fontId="15" fillId="0" borderId="20" xfId="5" applyNumberFormat="1" applyFont="1" applyBorder="1" applyAlignment="1" applyProtection="1">
      <alignment horizontal="center" vertical="center"/>
      <protection locked="0"/>
    </xf>
    <xf numFmtId="49" fontId="10" fillId="0" borderId="23" xfId="5" applyNumberFormat="1" applyFont="1" applyBorder="1" applyAlignment="1">
      <alignment horizontal="center" vertical="center"/>
    </xf>
    <xf numFmtId="0" fontId="14" fillId="0" borderId="14" xfId="5" applyFont="1" applyBorder="1" applyAlignment="1">
      <alignment vertical="center" wrapText="1"/>
    </xf>
    <xf numFmtId="3" fontId="15" fillId="0" borderId="12" xfId="5" applyNumberFormat="1" applyFont="1" applyBorder="1" applyAlignment="1">
      <alignment horizontal="center" vertical="center"/>
    </xf>
    <xf numFmtId="0" fontId="14" fillId="0" borderId="18" xfId="5" applyFont="1" applyBorder="1" applyAlignment="1">
      <alignment vertical="center" wrapText="1"/>
    </xf>
    <xf numFmtId="0" fontId="10" fillId="0" borderId="28" xfId="5" applyFont="1" applyBorder="1" applyAlignment="1">
      <alignment horizontal="center" vertical="center"/>
    </xf>
    <xf numFmtId="49" fontId="10" fillId="0" borderId="31" xfId="5" applyNumberFormat="1" applyFont="1" applyBorder="1" applyAlignment="1">
      <alignment horizontal="center" vertical="center" wrapText="1"/>
    </xf>
    <xf numFmtId="0" fontId="14" fillId="0" borderId="21" xfId="5" applyFont="1" applyBorder="1" applyAlignment="1">
      <alignment vertical="center" wrapText="1"/>
    </xf>
    <xf numFmtId="49" fontId="10" fillId="0" borderId="22" xfId="5" applyNumberFormat="1" applyFont="1" applyBorder="1" applyAlignment="1">
      <alignment horizontal="center" vertical="center" wrapText="1"/>
    </xf>
    <xf numFmtId="164" fontId="0" fillId="0" borderId="0" xfId="1" applyFont="1" applyAlignment="1">
      <alignment horizontal="right" vertical="top"/>
    </xf>
    <xf numFmtId="49" fontId="0" fillId="0" borderId="0" xfId="1" applyNumberFormat="1" applyFont="1" applyAlignment="1">
      <alignment vertical="top"/>
    </xf>
    <xf numFmtId="49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10"/>
    <xf numFmtId="0" fontId="2" fillId="0" borderId="0" xfId="10" applyAlignment="1">
      <alignment horizontal="center"/>
    </xf>
    <xf numFmtId="0" fontId="5" fillId="0" borderId="0" xfId="10" applyFont="1"/>
    <xf numFmtId="0" fontId="2" fillId="0" borderId="1" xfId="15" applyBorder="1"/>
    <xf numFmtId="164" fontId="2" fillId="0" borderId="1" xfId="11" applyBorder="1"/>
    <xf numFmtId="164" fontId="2" fillId="0" borderId="1" xfId="11" applyFill="1" applyBorder="1"/>
    <xf numFmtId="0" fontId="6" fillId="0" borderId="0" xfId="10" applyFont="1"/>
    <xf numFmtId="0" fontId="0" fillId="0" borderId="0" xfId="0" applyAlignment="1">
      <alignment horizontal="center" vertical="top"/>
    </xf>
    <xf numFmtId="0" fontId="2" fillId="0" borderId="0" xfId="22"/>
    <xf numFmtId="0" fontId="5" fillId="0" borderId="0" xfId="22" applyFont="1"/>
    <xf numFmtId="0" fontId="4" fillId="0" borderId="1" xfId="23" applyBorder="1" applyAlignment="1">
      <alignment vertical="top"/>
    </xf>
    <xf numFmtId="0" fontId="2" fillId="0" borderId="1" xfId="26" applyBorder="1"/>
    <xf numFmtId="164" fontId="4" fillId="0" borderId="1" xfId="23" applyNumberFormat="1" applyBorder="1" applyAlignment="1">
      <alignment vertical="top"/>
    </xf>
    <xf numFmtId="164" fontId="4" fillId="0" borderId="1" xfId="11" applyFont="1" applyBorder="1" applyAlignment="1">
      <alignment vertical="top"/>
    </xf>
    <xf numFmtId="164" fontId="2" fillId="0" borderId="0" xfId="10" applyNumberFormat="1"/>
    <xf numFmtId="4" fontId="0" fillId="0" borderId="0" xfId="0" applyNumberFormat="1" applyAlignment="1">
      <alignment vertical="top"/>
    </xf>
    <xf numFmtId="0" fontId="1" fillId="0" borderId="1" xfId="26" applyFont="1" applyBorder="1"/>
    <xf numFmtId="0" fontId="1" fillId="0" borderId="1" xfId="15" applyFont="1" applyBorder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64" fontId="1" fillId="0" borderId="0" xfId="11" applyFont="1" applyFill="1"/>
    <xf numFmtId="164" fontId="1" fillId="0" borderId="1" xfId="14" applyFont="1" applyBorder="1"/>
    <xf numFmtId="165" fontId="1" fillId="0" borderId="1" xfId="16" applyFont="1" applyBorder="1"/>
    <xf numFmtId="9" fontId="1" fillId="0" borderId="0" xfId="12" applyFont="1"/>
    <xf numFmtId="164" fontId="1" fillId="0" borderId="1" xfId="24" applyFont="1" applyBorder="1"/>
    <xf numFmtId="164" fontId="1" fillId="0" borderId="1" xfId="11" applyFont="1" applyBorder="1"/>
    <xf numFmtId="164" fontId="1" fillId="0" borderId="1" xfId="11" applyFont="1" applyFill="1" applyBorder="1"/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0" fillId="5" borderId="0" xfId="0" applyFill="1" applyAlignment="1">
      <alignment vertical="top"/>
    </xf>
    <xf numFmtId="49" fontId="4" fillId="5" borderId="0" xfId="0" applyNumberFormat="1" applyFont="1" applyFill="1" applyAlignment="1">
      <alignment vertical="top"/>
    </xf>
    <xf numFmtId="0" fontId="0" fillId="2" borderId="1" xfId="0" applyFill="1" applyBorder="1" applyAlignment="1">
      <alignment horizontal="center" vertical="top"/>
    </xf>
    <xf numFmtId="164" fontId="4" fillId="2" borderId="1" xfId="1" applyFont="1" applyFill="1" applyBorder="1" applyAlignment="1">
      <alignment horizontal="center" vertical="top"/>
    </xf>
    <xf numFmtId="4" fontId="17" fillId="0" borderId="0" xfId="0" applyNumberFormat="1" applyFont="1" applyAlignment="1">
      <alignment horizontal="right" vertical="top"/>
    </xf>
    <xf numFmtId="4" fontId="17" fillId="4" borderId="1" xfId="0" applyNumberFormat="1" applyFont="1" applyFill="1" applyBorder="1" applyAlignment="1">
      <alignment horizontal="right" vertical="top"/>
    </xf>
    <xf numFmtId="0" fontId="4" fillId="5" borderId="0" xfId="0" applyFont="1" applyFill="1" applyAlignment="1">
      <alignment vertical="top"/>
    </xf>
    <xf numFmtId="164" fontId="17" fillId="0" borderId="0" xfId="1" applyFont="1" applyAlignment="1">
      <alignment horizontal="right" vertical="top"/>
    </xf>
    <xf numFmtId="164" fontId="17" fillId="3" borderId="1" xfId="1" applyFont="1" applyFill="1" applyBorder="1" applyAlignment="1">
      <alignment horizontal="right" vertical="top"/>
    </xf>
    <xf numFmtId="164" fontId="0" fillId="5" borderId="1" xfId="1" applyFont="1" applyFill="1" applyBorder="1" applyAlignment="1">
      <alignment horizontal="right" vertical="top"/>
    </xf>
    <xf numFmtId="3" fontId="14" fillId="0" borderId="29" xfId="5" applyNumberFormat="1" applyFont="1" applyBorder="1" applyAlignment="1">
      <alignment horizontal="center" vertical="center"/>
    </xf>
    <xf numFmtId="3" fontId="14" fillId="0" borderId="30" xfId="5" applyNumberFormat="1" applyFont="1" applyBorder="1" applyAlignment="1">
      <alignment horizontal="center" vertical="center"/>
    </xf>
    <xf numFmtId="3" fontId="10" fillId="0" borderId="32" xfId="5" applyNumberFormat="1" applyFont="1" applyBorder="1" applyAlignment="1">
      <alignment horizontal="center" vertical="center"/>
    </xf>
    <xf numFmtId="3" fontId="10" fillId="0" borderId="33" xfId="5" applyNumberFormat="1" applyFont="1" applyBorder="1" applyAlignment="1">
      <alignment horizontal="center" vertical="center"/>
    </xf>
    <xf numFmtId="3" fontId="10" fillId="0" borderId="34" xfId="5" applyNumberFormat="1" applyFont="1" applyBorder="1" applyAlignment="1">
      <alignment horizontal="center" vertical="center"/>
    </xf>
    <xf numFmtId="3" fontId="10" fillId="0" borderId="35" xfId="5" applyNumberFormat="1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14" fillId="0" borderId="3" xfId="5" applyFont="1" applyBorder="1" applyAlignment="1">
      <alignment horizontal="left" vertical="center" wrapText="1"/>
    </xf>
    <xf numFmtId="0" fontId="14" fillId="0" borderId="4" xfId="5" applyFont="1" applyBorder="1" applyAlignment="1">
      <alignment horizontal="left" vertical="center" wrapText="1"/>
    </xf>
    <xf numFmtId="0" fontId="14" fillId="0" borderId="5" xfId="5" applyFont="1" applyBorder="1" applyAlignment="1">
      <alignment horizontal="left" vertical="center" wrapText="1"/>
    </xf>
    <xf numFmtId="0" fontId="9" fillId="0" borderId="0" xfId="5" applyFont="1" applyAlignment="1" applyProtection="1">
      <alignment horizontal="left" vertical="center" wrapText="1"/>
      <protection locked="0"/>
    </xf>
    <xf numFmtId="0" fontId="10" fillId="0" borderId="2" xfId="5" applyFont="1" applyBorder="1" applyAlignment="1" applyProtection="1">
      <alignment horizontal="center" vertical="center" wrapText="1"/>
      <protection locked="0"/>
    </xf>
    <xf numFmtId="0" fontId="12" fillId="0" borderId="3" xfId="5" applyFont="1" applyBorder="1" applyAlignment="1">
      <alignment vertical="center" wrapText="1"/>
    </xf>
    <xf numFmtId="0" fontId="12" fillId="0" borderId="4" xfId="5" applyFont="1" applyBorder="1" applyAlignment="1">
      <alignment vertical="center" wrapText="1"/>
    </xf>
    <xf numFmtId="0" fontId="12" fillId="0" borderId="5" xfId="5" applyFont="1" applyBorder="1" applyAlignment="1">
      <alignment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6" fillId="0" borderId="0" xfId="22" applyFont="1" applyAlignment="1">
      <alignment horizontal="center"/>
    </xf>
    <xf numFmtId="0" fontId="2" fillId="0" borderId="0" xfId="22" applyAlignment="1">
      <alignment horizontal="center"/>
    </xf>
    <xf numFmtId="0" fontId="2" fillId="0" borderId="0" xfId="22" applyAlignment="1"/>
    <xf numFmtId="4" fontId="0" fillId="5" borderId="0" xfId="0" applyNumberFormat="1" applyFill="1" applyAlignment="1">
      <alignment horizontal="right" vertical="top"/>
    </xf>
    <xf numFmtId="0" fontId="0" fillId="6" borderId="0" xfId="0" applyFill="1" applyAlignment="1">
      <alignment vertical="top"/>
    </xf>
    <xf numFmtId="0" fontId="2" fillId="6" borderId="1" xfId="15" applyFill="1" applyBorder="1"/>
    <xf numFmtId="164" fontId="2" fillId="6" borderId="1" xfId="11" applyFill="1" applyBorder="1"/>
    <xf numFmtId="164" fontId="1" fillId="6" borderId="1" xfId="14" applyFont="1" applyFill="1" applyBorder="1"/>
    <xf numFmtId="165" fontId="1" fillId="6" borderId="1" xfId="16" applyFont="1" applyFill="1" applyBorder="1"/>
    <xf numFmtId="0" fontId="2" fillId="7" borderId="1" xfId="15" applyFill="1" applyBorder="1"/>
    <xf numFmtId="164" fontId="2" fillId="7" borderId="1" xfId="11" applyFill="1" applyBorder="1"/>
    <xf numFmtId="164" fontId="1" fillId="7" borderId="1" xfId="14" applyFont="1" applyFill="1" applyBorder="1"/>
    <xf numFmtId="164" fontId="1" fillId="7" borderId="1" xfId="11" applyFont="1" applyFill="1" applyBorder="1"/>
    <xf numFmtId="0" fontId="5" fillId="0" borderId="36" xfId="15" applyFont="1" applyBorder="1" applyAlignment="1">
      <alignment horizontal="center" vertical="center"/>
    </xf>
    <xf numFmtId="164" fontId="5" fillId="0" borderId="1" xfId="11" applyFont="1" applyFill="1" applyBorder="1" applyAlignment="1">
      <alignment vertical="center" wrapText="1"/>
    </xf>
    <xf numFmtId="164" fontId="5" fillId="0" borderId="1" xfId="11" applyFont="1" applyBorder="1" applyAlignment="1">
      <alignment vertical="center" wrapText="1"/>
    </xf>
    <xf numFmtId="164" fontId="5" fillId="0" borderId="1" xfId="14" applyFont="1" applyBorder="1" applyAlignment="1">
      <alignment horizontal="center" vertical="center" wrapText="1"/>
    </xf>
    <xf numFmtId="164" fontId="5" fillId="0" borderId="1" xfId="14" applyFont="1" applyBorder="1" applyAlignment="1">
      <alignment vertical="center" wrapText="1"/>
    </xf>
    <xf numFmtId="0" fontId="5" fillId="0" borderId="16" xfId="15" applyFont="1" applyBorder="1" applyAlignment="1">
      <alignment horizontal="center" vertical="center"/>
    </xf>
    <xf numFmtId="164" fontId="4" fillId="0" borderId="1" xfId="11" applyFont="1" applyFill="1" applyBorder="1" applyAlignment="1">
      <alignment horizontal="center" vertical="center"/>
    </xf>
    <xf numFmtId="164" fontId="4" fillId="0" borderId="1" xfId="11" applyFont="1" applyBorder="1" applyAlignment="1">
      <alignment horizontal="center" vertical="center"/>
    </xf>
    <xf numFmtId="164" fontId="1" fillId="0" borderId="1" xfId="14" applyFont="1" applyBorder="1" applyAlignment="1">
      <alignment horizontal="center" vertical="center"/>
    </xf>
    <xf numFmtId="0" fontId="2" fillId="0" borderId="1" xfId="15" applyBorder="1" applyAlignment="1">
      <alignment horizontal="center" vertical="center"/>
    </xf>
    <xf numFmtId="165" fontId="1" fillId="7" borderId="1" xfId="16" applyFont="1" applyFill="1" applyBorder="1"/>
    <xf numFmtId="0" fontId="2" fillId="7" borderId="1" xfId="26" applyFill="1" applyBorder="1"/>
    <xf numFmtId="164" fontId="1" fillId="7" borderId="1" xfId="24" applyFont="1" applyFill="1" applyBorder="1"/>
    <xf numFmtId="0" fontId="4" fillId="7" borderId="1" xfId="23" applyFill="1" applyBorder="1" applyAlignment="1">
      <alignment vertical="top"/>
    </xf>
    <xf numFmtId="164" fontId="4" fillId="7" borderId="1" xfId="11" applyFont="1" applyFill="1" applyBorder="1" applyAlignment="1">
      <alignment vertical="top"/>
    </xf>
    <xf numFmtId="164" fontId="4" fillId="7" borderId="1" xfId="23" applyNumberFormat="1" applyFill="1" applyBorder="1" applyAlignment="1">
      <alignment vertical="top"/>
    </xf>
    <xf numFmtId="164" fontId="4" fillId="7" borderId="1" xfId="24" applyFont="1" applyFill="1" applyBorder="1" applyAlignment="1">
      <alignment vertical="top"/>
    </xf>
  </cellXfs>
  <cellStyles count="27">
    <cellStyle name="Čárka 2" xfId="3" xr:uid="{00000000-0005-0000-0000-000000000000}"/>
    <cellStyle name="Čárka 2 2" xfId="16" xr:uid="{00000000-0005-0000-0000-000001000000}"/>
    <cellStyle name="Currency" xfId="1" builtinId="4"/>
    <cellStyle name="Měna 2" xfId="14" xr:uid="{00000000-0005-0000-0000-000003000000}"/>
    <cellStyle name="Měna 3" xfId="11" xr:uid="{00000000-0005-0000-0000-000004000000}"/>
    <cellStyle name="Měna 4" xfId="24" xr:uid="{00000000-0005-0000-0000-000005000000}"/>
    <cellStyle name="Normal" xfId="0" builtinId="0"/>
    <cellStyle name="Normální 10" xfId="23" xr:uid="{00000000-0005-0000-0000-000007000000}"/>
    <cellStyle name="Normální 11" xfId="22" xr:uid="{00000000-0005-0000-0000-000008000000}"/>
    <cellStyle name="Normální 2" xfId="2" xr:uid="{00000000-0005-0000-0000-000009000000}"/>
    <cellStyle name="normální 2 2" xfId="6" xr:uid="{00000000-0005-0000-0000-00000A000000}"/>
    <cellStyle name="normální 2 2 2" xfId="18" xr:uid="{00000000-0005-0000-0000-00000B000000}"/>
    <cellStyle name="Normální 2 3" xfId="15" xr:uid="{00000000-0005-0000-0000-00000C000000}"/>
    <cellStyle name="Normální 2 4" xfId="25" xr:uid="{00000000-0005-0000-0000-00000D000000}"/>
    <cellStyle name="Normální 2 5" xfId="26" xr:uid="{00000000-0005-0000-0000-00000E000000}"/>
    <cellStyle name="normální 3" xfId="5" xr:uid="{00000000-0005-0000-0000-00000F000000}"/>
    <cellStyle name="Normální 4" xfId="7" xr:uid="{00000000-0005-0000-0000-000010000000}"/>
    <cellStyle name="Normální 4 2" xfId="19" xr:uid="{00000000-0005-0000-0000-000011000000}"/>
    <cellStyle name="Normální 5" xfId="8" xr:uid="{00000000-0005-0000-0000-000012000000}"/>
    <cellStyle name="Normální 5 2" xfId="20" xr:uid="{00000000-0005-0000-0000-000013000000}"/>
    <cellStyle name="Normální 6" xfId="4" xr:uid="{00000000-0005-0000-0000-000014000000}"/>
    <cellStyle name="Normální 6 2" xfId="17" xr:uid="{00000000-0005-0000-0000-000015000000}"/>
    <cellStyle name="Normální 7" xfId="9" xr:uid="{00000000-0005-0000-0000-000016000000}"/>
    <cellStyle name="Normální 7 2" xfId="21" xr:uid="{00000000-0005-0000-0000-000017000000}"/>
    <cellStyle name="Normální 8" xfId="13" xr:uid="{00000000-0005-0000-0000-000018000000}"/>
    <cellStyle name="Normální 9" xfId="10" xr:uid="{00000000-0005-0000-0000-000019000000}"/>
    <cellStyle name="Procenta 2" xfId="12" xr:uid="{00000000-0005-0000-0000-00001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workbookViewId="0">
      <selection sqref="A1:E1"/>
    </sheetView>
  </sheetViews>
  <sheetFormatPr defaultRowHeight="12.5" x14ac:dyDescent="0.25"/>
  <cols>
    <col min="1" max="1" width="38.26953125" bestFit="1" customWidth="1"/>
    <col min="2" max="2" width="10.81640625" bestFit="1" customWidth="1"/>
    <col min="3" max="3" width="10.453125" customWidth="1"/>
    <col min="4" max="4" width="14.81640625" customWidth="1"/>
    <col min="5" max="5" width="26.453125" customWidth="1"/>
    <col min="8" max="8" width="44.81640625" customWidth="1"/>
    <col min="9" max="9" width="10.81640625" bestFit="1" customWidth="1"/>
    <col min="10" max="10" width="7.54296875" bestFit="1" customWidth="1"/>
    <col min="12" max="12" width="18.453125" customWidth="1"/>
    <col min="14" max="14" width="13" customWidth="1"/>
  </cols>
  <sheetData>
    <row r="1" spans="1:14" ht="15.5" x14ac:dyDescent="0.25">
      <c r="A1" s="109" t="s">
        <v>0</v>
      </c>
      <c r="B1" s="109"/>
      <c r="C1" s="109"/>
      <c r="D1" s="109"/>
      <c r="E1" s="109"/>
      <c r="H1" s="109" t="s">
        <v>0</v>
      </c>
      <c r="I1" s="109"/>
      <c r="J1" s="109"/>
      <c r="K1" s="109"/>
      <c r="L1" s="109"/>
    </row>
    <row r="2" spans="1:14" ht="13.5" thickBot="1" x14ac:dyDescent="0.3">
      <c r="A2" s="110"/>
      <c r="B2" s="110"/>
      <c r="C2" s="110"/>
      <c r="D2" s="110"/>
      <c r="E2" s="110"/>
      <c r="H2" s="110"/>
      <c r="I2" s="110"/>
      <c r="J2" s="110"/>
      <c r="K2" s="110"/>
      <c r="L2" s="110"/>
    </row>
    <row r="3" spans="1:14" ht="16" thickBot="1" x14ac:dyDescent="0.3">
      <c r="A3" s="103" t="s">
        <v>1</v>
      </c>
      <c r="B3" s="104"/>
      <c r="C3" s="104"/>
      <c r="D3" s="104"/>
      <c r="E3" s="105"/>
      <c r="H3" s="103" t="s">
        <v>1</v>
      </c>
      <c r="I3" s="104"/>
      <c r="J3" s="104"/>
      <c r="K3" s="104"/>
      <c r="L3" s="105"/>
    </row>
    <row r="4" spans="1:14" ht="16" thickBot="1" x14ac:dyDescent="0.3">
      <c r="A4" s="103" t="s">
        <v>2</v>
      </c>
      <c r="B4" s="104"/>
      <c r="C4" s="104"/>
      <c r="D4" s="104"/>
      <c r="E4" s="105"/>
      <c r="H4" s="103" t="s">
        <v>3</v>
      </c>
      <c r="I4" s="104"/>
      <c r="J4" s="104"/>
      <c r="K4" s="104"/>
      <c r="L4" s="105"/>
    </row>
    <row r="5" spans="1:14" ht="13" thickBot="1" x14ac:dyDescent="0.3">
      <c r="A5" s="111" t="s">
        <v>4</v>
      </c>
      <c r="B5" s="112"/>
      <c r="C5" s="112"/>
      <c r="D5" s="112"/>
      <c r="E5" s="113"/>
      <c r="H5" s="111" t="s">
        <v>4</v>
      </c>
      <c r="I5" s="112"/>
      <c r="J5" s="112"/>
      <c r="K5" s="112"/>
      <c r="L5" s="113"/>
    </row>
    <row r="6" spans="1:14" ht="39.5" thickBot="1" x14ac:dyDescent="0.3">
      <c r="A6" s="12" t="s">
        <v>5</v>
      </c>
      <c r="B6" s="13" t="s">
        <v>6</v>
      </c>
      <c r="C6" s="14" t="s">
        <v>7</v>
      </c>
      <c r="D6" s="15" t="s">
        <v>8</v>
      </c>
      <c r="E6" s="16" t="s">
        <v>9</v>
      </c>
      <c r="H6" s="12" t="s">
        <v>5</v>
      </c>
      <c r="I6" s="13" t="s">
        <v>6</v>
      </c>
      <c r="J6" s="14" t="s">
        <v>7</v>
      </c>
      <c r="K6" s="15" t="s">
        <v>8</v>
      </c>
      <c r="L6" s="16" t="s">
        <v>9</v>
      </c>
    </row>
    <row r="7" spans="1:14" ht="13" x14ac:dyDescent="0.25">
      <c r="A7" s="17" t="s">
        <v>10</v>
      </c>
      <c r="B7" s="114"/>
      <c r="C7" s="115"/>
      <c r="D7" s="18" t="s">
        <v>11</v>
      </c>
      <c r="E7" s="19" t="s">
        <v>12</v>
      </c>
      <c r="H7" s="17" t="s">
        <v>10</v>
      </c>
      <c r="I7" s="114"/>
      <c r="J7" s="115"/>
      <c r="K7" s="18" t="s">
        <v>11</v>
      </c>
      <c r="L7" s="19" t="s">
        <v>12</v>
      </c>
    </row>
    <row r="8" spans="1:14" ht="13" x14ac:dyDescent="0.25">
      <c r="A8" s="20" t="s">
        <v>13</v>
      </c>
      <c r="B8" s="21" t="s">
        <v>14</v>
      </c>
      <c r="C8" s="22" t="s">
        <v>15</v>
      </c>
      <c r="D8" s="23">
        <v>0</v>
      </c>
      <c r="E8" s="24">
        <f>+E9+E10+E11+E14</f>
        <v>291486.62</v>
      </c>
      <c r="H8" s="20" t="s">
        <v>13</v>
      </c>
      <c r="I8" s="21" t="s">
        <v>14</v>
      </c>
      <c r="J8" s="22" t="s">
        <v>15</v>
      </c>
      <c r="K8" s="23">
        <v>0</v>
      </c>
      <c r="L8" s="24">
        <f>+L9+L10</f>
        <v>160479.22</v>
      </c>
    </row>
    <row r="9" spans="1:14" ht="26" x14ac:dyDescent="0.25">
      <c r="A9" s="25" t="s">
        <v>16</v>
      </c>
      <c r="B9" s="26" t="s">
        <v>17</v>
      </c>
      <c r="C9" s="27" t="s">
        <v>18</v>
      </c>
      <c r="D9" s="28"/>
      <c r="E9" s="29">
        <f>10613.8+3461.53+12754.56+76650.95+8757.67+1190.92+21780.16</f>
        <v>135209.59</v>
      </c>
      <c r="H9" s="25" t="s">
        <v>16</v>
      </c>
      <c r="I9" s="26" t="s">
        <v>17</v>
      </c>
      <c r="J9" s="27" t="s">
        <v>18</v>
      </c>
      <c r="K9" s="28"/>
      <c r="L9" s="29">
        <f>-16497.88+82752.73</f>
        <v>66254.849999999991</v>
      </c>
    </row>
    <row r="10" spans="1:14" ht="13" x14ac:dyDescent="0.25">
      <c r="A10" s="25" t="s">
        <v>19</v>
      </c>
      <c r="B10" s="26">
        <v>504</v>
      </c>
      <c r="C10" s="27" t="s">
        <v>20</v>
      </c>
      <c r="D10" s="28"/>
      <c r="E10" s="29">
        <v>85124.03</v>
      </c>
      <c r="H10" s="25" t="s">
        <v>19</v>
      </c>
      <c r="I10" s="26">
        <v>504</v>
      </c>
      <c r="J10" s="27" t="s">
        <v>20</v>
      </c>
      <c r="K10" s="28"/>
      <c r="L10" s="29">
        <f>16497.88+77726.49</f>
        <v>94224.37000000001</v>
      </c>
      <c r="N10" s="72"/>
    </row>
    <row r="11" spans="1:14" ht="13" x14ac:dyDescent="0.25">
      <c r="A11" s="25" t="s">
        <v>21</v>
      </c>
      <c r="B11" s="26">
        <v>511</v>
      </c>
      <c r="C11" s="27" t="s">
        <v>22</v>
      </c>
      <c r="D11" s="28"/>
      <c r="E11" s="29">
        <v>45453</v>
      </c>
      <c r="H11" s="25" t="s">
        <v>21</v>
      </c>
      <c r="I11" s="26">
        <v>511</v>
      </c>
      <c r="J11" s="27" t="s">
        <v>22</v>
      </c>
      <c r="K11" s="28"/>
      <c r="L11" s="29"/>
    </row>
    <row r="12" spans="1:14" ht="13" x14ac:dyDescent="0.25">
      <c r="A12" s="25" t="s">
        <v>23</v>
      </c>
      <c r="B12" s="26">
        <v>512</v>
      </c>
      <c r="C12" s="27" t="s">
        <v>24</v>
      </c>
      <c r="D12" s="28"/>
      <c r="E12" s="29"/>
      <c r="H12" s="25" t="s">
        <v>23</v>
      </c>
      <c r="I12" s="26">
        <v>512</v>
      </c>
      <c r="J12" s="27" t="s">
        <v>24</v>
      </c>
      <c r="K12" s="28"/>
      <c r="L12" s="29"/>
    </row>
    <row r="13" spans="1:14" ht="13" x14ac:dyDescent="0.25">
      <c r="A13" s="25" t="s">
        <v>25</v>
      </c>
      <c r="B13" s="26">
        <v>513</v>
      </c>
      <c r="C13" s="27" t="s">
        <v>26</v>
      </c>
      <c r="D13" s="28"/>
      <c r="E13" s="29"/>
      <c r="H13" s="25" t="s">
        <v>25</v>
      </c>
      <c r="I13" s="26">
        <v>513</v>
      </c>
      <c r="J13" s="27" t="s">
        <v>26</v>
      </c>
      <c r="K13" s="28"/>
      <c r="L13" s="29"/>
    </row>
    <row r="14" spans="1:14" ht="13" x14ac:dyDescent="0.25">
      <c r="A14" s="25" t="s">
        <v>27</v>
      </c>
      <c r="B14" s="26">
        <v>518</v>
      </c>
      <c r="C14" s="27" t="s">
        <v>28</v>
      </c>
      <c r="D14" s="28"/>
      <c r="E14" s="29">
        <v>25700</v>
      </c>
      <c r="H14" s="25" t="s">
        <v>27</v>
      </c>
      <c r="I14" s="26">
        <v>518</v>
      </c>
      <c r="J14" s="27" t="s">
        <v>28</v>
      </c>
      <c r="K14" s="28"/>
      <c r="L14" s="29"/>
    </row>
    <row r="15" spans="1:14" ht="26" x14ac:dyDescent="0.25">
      <c r="A15" s="25" t="s">
        <v>29</v>
      </c>
      <c r="B15" s="21" t="s">
        <v>30</v>
      </c>
      <c r="C15" s="27" t="s">
        <v>31</v>
      </c>
      <c r="D15" s="23">
        <v>0</v>
      </c>
      <c r="E15" s="30">
        <v>-19261</v>
      </c>
      <c r="H15" s="25" t="s">
        <v>29</v>
      </c>
      <c r="I15" s="21" t="s">
        <v>30</v>
      </c>
      <c r="J15" s="27" t="s">
        <v>31</v>
      </c>
      <c r="K15" s="23">
        <v>0</v>
      </c>
      <c r="L15" s="30">
        <f>+L17</f>
        <v>-29099.34</v>
      </c>
    </row>
    <row r="16" spans="1:14" ht="13" x14ac:dyDescent="0.25">
      <c r="A16" s="25" t="s">
        <v>32</v>
      </c>
      <c r="B16" s="26">
        <v>56</v>
      </c>
      <c r="C16" s="27" t="s">
        <v>33</v>
      </c>
      <c r="D16" s="28"/>
      <c r="E16" s="29"/>
      <c r="H16" s="25" t="s">
        <v>32</v>
      </c>
      <c r="I16" s="26">
        <v>56</v>
      </c>
      <c r="J16" s="27" t="s">
        <v>33</v>
      </c>
      <c r="K16" s="28"/>
      <c r="L16" s="29"/>
    </row>
    <row r="17" spans="1:12" ht="26" x14ac:dyDescent="0.25">
      <c r="A17" s="25" t="s">
        <v>34</v>
      </c>
      <c r="B17" s="26">
        <v>571.572</v>
      </c>
      <c r="C17" s="27" t="s">
        <v>35</v>
      </c>
      <c r="D17" s="28"/>
      <c r="E17" s="29">
        <v>-19261</v>
      </c>
      <c r="H17" s="25" t="s">
        <v>34</v>
      </c>
      <c r="I17" s="26">
        <v>571.572</v>
      </c>
      <c r="J17" s="27" t="s">
        <v>35</v>
      </c>
      <c r="K17" s="28"/>
      <c r="L17" s="29">
        <v>-29099.34</v>
      </c>
    </row>
    <row r="18" spans="1:12" ht="13" x14ac:dyDescent="0.25">
      <c r="A18" s="25" t="s">
        <v>36</v>
      </c>
      <c r="B18" s="26">
        <v>573.57399999999996</v>
      </c>
      <c r="C18" s="27" t="s">
        <v>37</v>
      </c>
      <c r="D18" s="28"/>
      <c r="E18" s="29"/>
      <c r="H18" s="25" t="s">
        <v>36</v>
      </c>
      <c r="I18" s="26">
        <v>573.57399999999996</v>
      </c>
      <c r="J18" s="27" t="s">
        <v>37</v>
      </c>
      <c r="K18" s="28"/>
      <c r="L18" s="29"/>
    </row>
    <row r="19" spans="1:12" ht="13" x14ac:dyDescent="0.25">
      <c r="A19" s="25" t="s">
        <v>38</v>
      </c>
      <c r="B19" s="26" t="s">
        <v>39</v>
      </c>
      <c r="C19" s="27" t="s">
        <v>40</v>
      </c>
      <c r="D19" s="31">
        <v>0</v>
      </c>
      <c r="E19" s="30">
        <v>362769.87</v>
      </c>
      <c r="H19" s="25" t="s">
        <v>38</v>
      </c>
      <c r="I19" s="26" t="s">
        <v>39</v>
      </c>
      <c r="J19" s="27" t="s">
        <v>40</v>
      </c>
      <c r="K19" s="31">
        <v>0</v>
      </c>
      <c r="L19" s="30">
        <v>92584.55</v>
      </c>
    </row>
    <row r="20" spans="1:12" ht="13" x14ac:dyDescent="0.25">
      <c r="A20" s="25" t="s">
        <v>41</v>
      </c>
      <c r="B20" s="26">
        <v>521</v>
      </c>
      <c r="C20" s="27" t="s">
        <v>42</v>
      </c>
      <c r="D20" s="28"/>
      <c r="E20" s="29">
        <v>289368</v>
      </c>
      <c r="H20" s="25" t="s">
        <v>41</v>
      </c>
      <c r="I20" s="26">
        <v>521</v>
      </c>
      <c r="J20" s="27" t="s">
        <v>42</v>
      </c>
      <c r="K20" s="28"/>
      <c r="L20" s="29">
        <v>89919</v>
      </c>
    </row>
    <row r="21" spans="1:12" ht="13" x14ac:dyDescent="0.25">
      <c r="A21" s="25" t="s">
        <v>43</v>
      </c>
      <c r="B21" s="26">
        <v>524</v>
      </c>
      <c r="C21" s="27" t="s">
        <v>44</v>
      </c>
      <c r="D21" s="28"/>
      <c r="E21" s="29">
        <v>67791.87</v>
      </c>
      <c r="H21" s="25" t="s">
        <v>43</v>
      </c>
      <c r="I21" s="26">
        <v>524</v>
      </c>
      <c r="J21" s="27" t="s">
        <v>44</v>
      </c>
      <c r="K21" s="28"/>
      <c r="L21" s="29">
        <v>1765.55</v>
      </c>
    </row>
    <row r="22" spans="1:12" ht="13" x14ac:dyDescent="0.25">
      <c r="A22" s="25" t="s">
        <v>45</v>
      </c>
      <c r="B22" s="26">
        <v>525</v>
      </c>
      <c r="C22" s="27" t="s">
        <v>46</v>
      </c>
      <c r="D22" s="28"/>
      <c r="E22" s="29"/>
      <c r="H22" s="25" t="s">
        <v>45</v>
      </c>
      <c r="I22" s="26">
        <v>525</v>
      </c>
      <c r="J22" s="27" t="s">
        <v>46</v>
      </c>
      <c r="K22" s="28"/>
      <c r="L22" s="29"/>
    </row>
    <row r="23" spans="1:12" ht="13" x14ac:dyDescent="0.25">
      <c r="A23" s="25" t="s">
        <v>47</v>
      </c>
      <c r="B23" s="26">
        <v>527</v>
      </c>
      <c r="C23" s="27" t="s">
        <v>48</v>
      </c>
      <c r="D23" s="28"/>
      <c r="E23" s="29">
        <v>5610</v>
      </c>
      <c r="H23" s="25" t="s">
        <v>47</v>
      </c>
      <c r="I23" s="26">
        <v>527</v>
      </c>
      <c r="J23" s="27" t="s">
        <v>48</v>
      </c>
      <c r="K23" s="28"/>
      <c r="L23" s="29">
        <v>900</v>
      </c>
    </row>
    <row r="24" spans="1:12" ht="13" x14ac:dyDescent="0.25">
      <c r="A24" s="25" t="s">
        <v>49</v>
      </c>
      <c r="B24" s="26">
        <v>528</v>
      </c>
      <c r="C24" s="27" t="s">
        <v>50</v>
      </c>
      <c r="D24" s="28"/>
      <c r="E24" s="29"/>
      <c r="H24" s="25" t="s">
        <v>49</v>
      </c>
      <c r="I24" s="26">
        <v>528</v>
      </c>
      <c r="J24" s="27" t="s">
        <v>50</v>
      </c>
      <c r="K24" s="28"/>
      <c r="L24" s="29"/>
    </row>
    <row r="25" spans="1:12" ht="13" x14ac:dyDescent="0.25">
      <c r="A25" s="25" t="s">
        <v>51</v>
      </c>
      <c r="B25" s="26" t="s">
        <v>52</v>
      </c>
      <c r="C25" s="27" t="s">
        <v>53</v>
      </c>
      <c r="D25" s="31">
        <v>0</v>
      </c>
      <c r="E25" s="30">
        <v>0</v>
      </c>
      <c r="H25" s="25" t="s">
        <v>51</v>
      </c>
      <c r="I25" s="26" t="s">
        <v>52</v>
      </c>
      <c r="J25" s="27" t="s">
        <v>53</v>
      </c>
      <c r="K25" s="31">
        <v>0</v>
      </c>
      <c r="L25" s="30">
        <v>0</v>
      </c>
    </row>
    <row r="26" spans="1:12" ht="13" x14ac:dyDescent="0.25">
      <c r="A26" s="25" t="s">
        <v>54</v>
      </c>
      <c r="B26" s="26">
        <v>53</v>
      </c>
      <c r="C26" s="27" t="s">
        <v>55</v>
      </c>
      <c r="D26" s="28"/>
      <c r="E26" s="29"/>
      <c r="H26" s="25" t="s">
        <v>54</v>
      </c>
      <c r="I26" s="26">
        <v>53</v>
      </c>
      <c r="J26" s="27" t="s">
        <v>55</v>
      </c>
      <c r="K26" s="28"/>
      <c r="L26" s="29"/>
    </row>
    <row r="27" spans="1:12" ht="13" x14ac:dyDescent="0.25">
      <c r="A27" s="25" t="s">
        <v>56</v>
      </c>
      <c r="B27" s="26" t="s">
        <v>57</v>
      </c>
      <c r="C27" s="27" t="s">
        <v>58</v>
      </c>
      <c r="D27" s="31">
        <v>0</v>
      </c>
      <c r="E27" s="30">
        <v>4099.3599999999997</v>
      </c>
      <c r="H27" s="25" t="s">
        <v>56</v>
      </c>
      <c r="I27" s="26" t="s">
        <v>57</v>
      </c>
      <c r="J27" s="27" t="s">
        <v>58</v>
      </c>
      <c r="K27" s="31">
        <v>0</v>
      </c>
      <c r="L27" s="30">
        <v>462.13</v>
      </c>
    </row>
    <row r="28" spans="1:12" ht="26" x14ac:dyDescent="0.25">
      <c r="A28" s="25" t="s">
        <v>59</v>
      </c>
      <c r="B28" s="26">
        <v>541.54200000000003</v>
      </c>
      <c r="C28" s="27" t="s">
        <v>60</v>
      </c>
      <c r="D28" s="28"/>
      <c r="E28" s="29"/>
      <c r="H28" s="25" t="s">
        <v>59</v>
      </c>
      <c r="I28" s="26">
        <v>541.54200000000003</v>
      </c>
      <c r="J28" s="27" t="s">
        <v>60</v>
      </c>
      <c r="K28" s="28"/>
      <c r="L28" s="29"/>
    </row>
    <row r="29" spans="1:12" ht="13" x14ac:dyDescent="0.25">
      <c r="A29" s="25" t="s">
        <v>61</v>
      </c>
      <c r="B29" s="26">
        <v>543</v>
      </c>
      <c r="C29" s="27" t="s">
        <v>62</v>
      </c>
      <c r="D29" s="28"/>
      <c r="E29" s="29"/>
      <c r="H29" s="25" t="s">
        <v>61</v>
      </c>
      <c r="I29" s="26">
        <v>543</v>
      </c>
      <c r="J29" s="27" t="s">
        <v>62</v>
      </c>
      <c r="K29" s="28"/>
      <c r="L29" s="29"/>
    </row>
    <row r="30" spans="1:12" ht="13" x14ac:dyDescent="0.25">
      <c r="A30" s="25" t="s">
        <v>63</v>
      </c>
      <c r="B30" s="26">
        <v>544</v>
      </c>
      <c r="C30" s="27" t="s">
        <v>64</v>
      </c>
      <c r="D30" s="28"/>
      <c r="E30" s="29"/>
      <c r="H30" s="25" t="s">
        <v>63</v>
      </c>
      <c r="I30" s="26">
        <v>544</v>
      </c>
      <c r="J30" s="27" t="s">
        <v>64</v>
      </c>
      <c r="K30" s="28"/>
      <c r="L30" s="29"/>
    </row>
    <row r="31" spans="1:12" ht="13" x14ac:dyDescent="0.25">
      <c r="A31" s="25" t="s">
        <v>65</v>
      </c>
      <c r="B31" s="26">
        <v>545</v>
      </c>
      <c r="C31" s="27" t="s">
        <v>66</v>
      </c>
      <c r="D31" s="28"/>
      <c r="E31" s="29"/>
      <c r="H31" s="25" t="s">
        <v>65</v>
      </c>
      <c r="I31" s="26">
        <v>545</v>
      </c>
      <c r="J31" s="27" t="s">
        <v>66</v>
      </c>
      <c r="K31" s="28"/>
      <c r="L31" s="29"/>
    </row>
    <row r="32" spans="1:12" ht="13" x14ac:dyDescent="0.25">
      <c r="A32" s="25" t="s">
        <v>67</v>
      </c>
      <c r="B32" s="26">
        <v>546</v>
      </c>
      <c r="C32" s="27" t="s">
        <v>68</v>
      </c>
      <c r="D32" s="28"/>
      <c r="E32" s="29"/>
      <c r="H32" s="25" t="s">
        <v>67</v>
      </c>
      <c r="I32" s="26">
        <v>546</v>
      </c>
      <c r="J32" s="27" t="s">
        <v>68</v>
      </c>
      <c r="K32" s="28"/>
      <c r="L32" s="29"/>
    </row>
    <row r="33" spans="1:12" ht="13" x14ac:dyDescent="0.25">
      <c r="A33" s="25" t="s">
        <v>69</v>
      </c>
      <c r="B33" s="26">
        <v>548</v>
      </c>
      <c r="C33" s="27" t="s">
        <v>70</v>
      </c>
      <c r="D33" s="28"/>
      <c r="E33" s="29"/>
      <c r="H33" s="25" t="s">
        <v>69</v>
      </c>
      <c r="I33" s="26">
        <v>548</v>
      </c>
      <c r="J33" s="27" t="s">
        <v>70</v>
      </c>
      <c r="K33" s="28"/>
      <c r="L33" s="29"/>
    </row>
    <row r="34" spans="1:12" ht="13" x14ac:dyDescent="0.25">
      <c r="A34" s="25" t="s">
        <v>71</v>
      </c>
      <c r="B34" s="26">
        <v>549</v>
      </c>
      <c r="C34" s="27" t="s">
        <v>72</v>
      </c>
      <c r="D34" s="28"/>
      <c r="E34" s="29">
        <v>4099.3599999999997</v>
      </c>
      <c r="H34" s="25" t="s">
        <v>71</v>
      </c>
      <c r="I34" s="26">
        <v>549</v>
      </c>
      <c r="J34" s="27" t="s">
        <v>72</v>
      </c>
      <c r="K34" s="28"/>
      <c r="L34" s="29">
        <v>462.13</v>
      </c>
    </row>
    <row r="35" spans="1:12" ht="26" x14ac:dyDescent="0.25">
      <c r="A35" s="25" t="s">
        <v>73</v>
      </c>
      <c r="B35" s="26" t="s">
        <v>74</v>
      </c>
      <c r="C35" s="27" t="s">
        <v>75</v>
      </c>
      <c r="D35" s="31">
        <v>0</v>
      </c>
      <c r="E35" s="30">
        <v>0</v>
      </c>
      <c r="H35" s="25" t="s">
        <v>73</v>
      </c>
      <c r="I35" s="26" t="s">
        <v>74</v>
      </c>
      <c r="J35" s="27" t="s">
        <v>75</v>
      </c>
      <c r="K35" s="31">
        <v>0</v>
      </c>
      <c r="L35" s="30">
        <v>0</v>
      </c>
    </row>
    <row r="36" spans="1:12" ht="13" x14ac:dyDescent="0.25">
      <c r="A36" s="25" t="s">
        <v>76</v>
      </c>
      <c r="B36" s="26">
        <v>551</v>
      </c>
      <c r="C36" s="27" t="s">
        <v>77</v>
      </c>
      <c r="D36" s="28"/>
      <c r="E36" s="29"/>
      <c r="H36" s="25" t="s">
        <v>76</v>
      </c>
      <c r="I36" s="26">
        <v>551</v>
      </c>
      <c r="J36" s="27" t="s">
        <v>77</v>
      </c>
      <c r="K36" s="28"/>
      <c r="L36" s="29"/>
    </row>
    <row r="37" spans="1:12" ht="13" x14ac:dyDescent="0.25">
      <c r="A37" s="25" t="s">
        <v>78</v>
      </c>
      <c r="B37" s="26">
        <v>552</v>
      </c>
      <c r="C37" s="27" t="s">
        <v>79</v>
      </c>
      <c r="D37" s="28"/>
      <c r="E37" s="29"/>
      <c r="H37" s="25" t="s">
        <v>78</v>
      </c>
      <c r="I37" s="26">
        <v>552</v>
      </c>
      <c r="J37" s="27" t="s">
        <v>79</v>
      </c>
      <c r="K37" s="28"/>
      <c r="L37" s="29"/>
    </row>
    <row r="38" spans="1:12" ht="13" x14ac:dyDescent="0.25">
      <c r="A38" s="25" t="s">
        <v>80</v>
      </c>
      <c r="B38" s="26">
        <v>553</v>
      </c>
      <c r="C38" s="27" t="s">
        <v>81</v>
      </c>
      <c r="D38" s="28"/>
      <c r="E38" s="29"/>
      <c r="H38" s="25" t="s">
        <v>80</v>
      </c>
      <c r="I38" s="26">
        <v>553</v>
      </c>
      <c r="J38" s="27" t="s">
        <v>81</v>
      </c>
      <c r="K38" s="28"/>
      <c r="L38" s="29"/>
    </row>
    <row r="39" spans="1:12" ht="13" x14ac:dyDescent="0.25">
      <c r="A39" s="25" t="s">
        <v>82</v>
      </c>
      <c r="B39" s="26">
        <v>554</v>
      </c>
      <c r="C39" s="27" t="s">
        <v>83</v>
      </c>
      <c r="D39" s="28"/>
      <c r="E39" s="29"/>
      <c r="H39" s="25" t="s">
        <v>82</v>
      </c>
      <c r="I39" s="26">
        <v>554</v>
      </c>
      <c r="J39" s="27" t="s">
        <v>83</v>
      </c>
      <c r="K39" s="28"/>
      <c r="L39" s="29"/>
    </row>
    <row r="40" spans="1:12" ht="26" x14ac:dyDescent="0.25">
      <c r="A40" s="25" t="s">
        <v>84</v>
      </c>
      <c r="B40" s="26" t="s">
        <v>85</v>
      </c>
      <c r="C40" s="27" t="s">
        <v>86</v>
      </c>
      <c r="D40" s="28"/>
      <c r="E40" s="29"/>
      <c r="H40" s="25" t="s">
        <v>84</v>
      </c>
      <c r="I40" s="26" t="s">
        <v>85</v>
      </c>
      <c r="J40" s="27" t="s">
        <v>86</v>
      </c>
      <c r="K40" s="28"/>
      <c r="L40" s="29"/>
    </row>
    <row r="41" spans="1:12" ht="13" x14ac:dyDescent="0.25">
      <c r="A41" s="25" t="s">
        <v>87</v>
      </c>
      <c r="B41" s="26" t="s">
        <v>88</v>
      </c>
      <c r="C41" s="27" t="s">
        <v>89</v>
      </c>
      <c r="D41" s="31">
        <v>0</v>
      </c>
      <c r="E41" s="30">
        <v>0</v>
      </c>
      <c r="H41" s="25" t="s">
        <v>87</v>
      </c>
      <c r="I41" s="26" t="s">
        <v>88</v>
      </c>
      <c r="J41" s="27" t="s">
        <v>89</v>
      </c>
      <c r="K41" s="31">
        <v>0</v>
      </c>
      <c r="L41" s="30">
        <v>0</v>
      </c>
    </row>
    <row r="42" spans="1:12" ht="26" x14ac:dyDescent="0.25">
      <c r="A42" s="25" t="s">
        <v>90</v>
      </c>
      <c r="B42" s="26">
        <v>581</v>
      </c>
      <c r="C42" s="27" t="s">
        <v>91</v>
      </c>
      <c r="D42" s="28"/>
      <c r="E42" s="29"/>
      <c r="H42" s="25" t="s">
        <v>90</v>
      </c>
      <c r="I42" s="26">
        <v>581</v>
      </c>
      <c r="J42" s="27" t="s">
        <v>91</v>
      </c>
      <c r="K42" s="28"/>
      <c r="L42" s="29"/>
    </row>
    <row r="43" spans="1:12" ht="13" x14ac:dyDescent="0.25">
      <c r="A43" s="25" t="s">
        <v>92</v>
      </c>
      <c r="B43" s="26" t="s">
        <v>93</v>
      </c>
      <c r="C43" s="27" t="s">
        <v>94</v>
      </c>
      <c r="D43" s="31">
        <v>0</v>
      </c>
      <c r="E43" s="30">
        <v>0</v>
      </c>
      <c r="H43" s="25" t="s">
        <v>92</v>
      </c>
      <c r="I43" s="26" t="s">
        <v>93</v>
      </c>
      <c r="J43" s="27" t="s">
        <v>94</v>
      </c>
      <c r="K43" s="31">
        <v>0</v>
      </c>
      <c r="L43" s="30">
        <v>0</v>
      </c>
    </row>
    <row r="44" spans="1:12" ht="13" x14ac:dyDescent="0.25">
      <c r="A44" s="25" t="s">
        <v>95</v>
      </c>
      <c r="B44" s="26">
        <v>59</v>
      </c>
      <c r="C44" s="27" t="s">
        <v>96</v>
      </c>
      <c r="D44" s="28"/>
      <c r="E44" s="29"/>
      <c r="H44" s="25" t="s">
        <v>95</v>
      </c>
      <c r="I44" s="26">
        <v>59</v>
      </c>
      <c r="J44" s="27" t="s">
        <v>96</v>
      </c>
      <c r="K44" s="28"/>
      <c r="L44" s="29"/>
    </row>
    <row r="45" spans="1:12" ht="39.5" thickBot="1" x14ac:dyDescent="0.3">
      <c r="A45" s="32" t="s">
        <v>97</v>
      </c>
      <c r="B45" s="33" t="s">
        <v>98</v>
      </c>
      <c r="C45" s="27" t="s">
        <v>99</v>
      </c>
      <c r="D45" s="34">
        <v>0</v>
      </c>
      <c r="E45" s="35">
        <f>+E43+E41+E35+E27+E19+E15+E8</f>
        <v>639094.85</v>
      </c>
      <c r="H45" s="32" t="s">
        <v>97</v>
      </c>
      <c r="I45" s="33" t="s">
        <v>98</v>
      </c>
      <c r="J45" s="27" t="s">
        <v>99</v>
      </c>
      <c r="K45" s="34">
        <v>0</v>
      </c>
      <c r="L45" s="35">
        <f>+L43+L41+L35+L27+L19+L15+L8</f>
        <v>224426.56</v>
      </c>
    </row>
    <row r="46" spans="1:12" ht="13.5" thickBot="1" x14ac:dyDescent="0.3">
      <c r="A46" s="106" t="s">
        <v>100</v>
      </c>
      <c r="B46" s="107"/>
      <c r="C46" s="107"/>
      <c r="D46" s="107"/>
      <c r="E46" s="108"/>
      <c r="H46" s="106" t="s">
        <v>100</v>
      </c>
      <c r="I46" s="107"/>
      <c r="J46" s="107"/>
      <c r="K46" s="107"/>
      <c r="L46" s="108"/>
    </row>
    <row r="47" spans="1:12" ht="13" x14ac:dyDescent="0.25">
      <c r="A47" s="20" t="s">
        <v>101</v>
      </c>
      <c r="B47" s="36" t="s">
        <v>102</v>
      </c>
      <c r="C47" s="27" t="s">
        <v>103</v>
      </c>
      <c r="D47" s="31"/>
      <c r="E47" s="37">
        <v>0</v>
      </c>
      <c r="H47" s="20" t="s">
        <v>101</v>
      </c>
      <c r="I47" s="36" t="s">
        <v>102</v>
      </c>
      <c r="J47" s="27" t="s">
        <v>103</v>
      </c>
      <c r="K47" s="31"/>
      <c r="L47" s="37">
        <v>0</v>
      </c>
    </row>
    <row r="48" spans="1:12" ht="13" x14ac:dyDescent="0.25">
      <c r="A48" s="25" t="s">
        <v>104</v>
      </c>
      <c r="B48" s="38">
        <v>691</v>
      </c>
      <c r="C48" s="27" t="s">
        <v>105</v>
      </c>
      <c r="D48" s="39"/>
      <c r="E48" s="29"/>
      <c r="H48" s="25" t="s">
        <v>104</v>
      </c>
      <c r="I48" s="38">
        <v>691</v>
      </c>
      <c r="J48" s="27" t="s">
        <v>105</v>
      </c>
      <c r="K48" s="39"/>
      <c r="L48" s="29"/>
    </row>
    <row r="49" spans="1:12" ht="13" x14ac:dyDescent="0.25">
      <c r="A49" s="25" t="s">
        <v>106</v>
      </c>
      <c r="B49" s="36" t="s">
        <v>107</v>
      </c>
      <c r="C49" s="27" t="s">
        <v>108</v>
      </c>
      <c r="D49" s="31">
        <v>0</v>
      </c>
      <c r="E49" s="31">
        <v>0</v>
      </c>
      <c r="H49" s="25" t="s">
        <v>106</v>
      </c>
      <c r="I49" s="36" t="s">
        <v>107</v>
      </c>
      <c r="J49" s="27" t="s">
        <v>108</v>
      </c>
      <c r="K49" s="31">
        <v>0</v>
      </c>
      <c r="L49" s="31">
        <v>0</v>
      </c>
    </row>
    <row r="50" spans="1:12" ht="26" x14ac:dyDescent="0.25">
      <c r="A50" s="25" t="s">
        <v>109</v>
      </c>
      <c r="B50" s="38">
        <v>681</v>
      </c>
      <c r="C50" s="27" t="s">
        <v>110</v>
      </c>
      <c r="D50" s="39"/>
      <c r="E50" s="29"/>
      <c r="H50" s="25" t="s">
        <v>109</v>
      </c>
      <c r="I50" s="38">
        <v>681</v>
      </c>
      <c r="J50" s="27" t="s">
        <v>110</v>
      </c>
      <c r="K50" s="39"/>
      <c r="L50" s="29"/>
    </row>
    <row r="51" spans="1:12" ht="13" x14ac:dyDescent="0.25">
      <c r="A51" s="25" t="s">
        <v>111</v>
      </c>
      <c r="B51" s="38">
        <v>682</v>
      </c>
      <c r="C51" s="27" t="s">
        <v>112</v>
      </c>
      <c r="D51" s="39"/>
      <c r="E51" s="29"/>
      <c r="H51" s="25" t="s">
        <v>111</v>
      </c>
      <c r="I51" s="38">
        <v>682</v>
      </c>
      <c r="J51" s="27" t="s">
        <v>112</v>
      </c>
      <c r="K51" s="39"/>
      <c r="L51" s="29"/>
    </row>
    <row r="52" spans="1:12" ht="13" x14ac:dyDescent="0.25">
      <c r="A52" s="25" t="s">
        <v>113</v>
      </c>
      <c r="B52" s="38">
        <v>684</v>
      </c>
      <c r="C52" s="27" t="s">
        <v>114</v>
      </c>
      <c r="D52" s="39"/>
      <c r="E52" s="29"/>
      <c r="H52" s="25" t="s">
        <v>113</v>
      </c>
      <c r="I52" s="38">
        <v>684</v>
      </c>
      <c r="J52" s="27" t="s">
        <v>114</v>
      </c>
      <c r="K52" s="39"/>
      <c r="L52" s="29"/>
    </row>
    <row r="53" spans="1:12" ht="13" x14ac:dyDescent="0.25">
      <c r="A53" s="25" t="s">
        <v>115</v>
      </c>
      <c r="B53" s="40" t="s">
        <v>116</v>
      </c>
      <c r="C53" s="27" t="s">
        <v>117</v>
      </c>
      <c r="D53" s="28"/>
      <c r="E53" s="29"/>
      <c r="H53" s="25" t="s">
        <v>115</v>
      </c>
      <c r="I53" s="40" t="s">
        <v>116</v>
      </c>
      <c r="J53" s="27" t="s">
        <v>117</v>
      </c>
      <c r="K53" s="28"/>
      <c r="L53" s="29"/>
    </row>
    <row r="54" spans="1:12" ht="13" x14ac:dyDescent="0.25">
      <c r="A54" s="25" t="s">
        <v>118</v>
      </c>
      <c r="B54" s="36" t="s">
        <v>119</v>
      </c>
      <c r="C54" s="27" t="s">
        <v>120</v>
      </c>
      <c r="D54" s="31">
        <v>0</v>
      </c>
      <c r="E54" s="41">
        <f>222371.08+19748.39</f>
        <v>242119.46999999997</v>
      </c>
      <c r="H54" s="25" t="s">
        <v>118</v>
      </c>
      <c r="I54" s="36" t="s">
        <v>119</v>
      </c>
      <c r="J54" s="27" t="s">
        <v>120</v>
      </c>
      <c r="K54" s="31">
        <v>0</v>
      </c>
      <c r="L54" s="41">
        <f>239627.35+11571.84</f>
        <v>251199.19</v>
      </c>
    </row>
    <row r="55" spans="1:12" ht="26" x14ac:dyDescent="0.25">
      <c r="A55" s="25" t="s">
        <v>121</v>
      </c>
      <c r="B55" s="40">
        <v>641.64200000000005</v>
      </c>
      <c r="C55" s="27" t="s">
        <v>122</v>
      </c>
      <c r="D55" s="28"/>
      <c r="E55" s="29"/>
      <c r="H55" s="25" t="s">
        <v>121</v>
      </c>
      <c r="I55" s="40">
        <v>641.64200000000005</v>
      </c>
      <c r="J55" s="27" t="s">
        <v>122</v>
      </c>
      <c r="K55" s="28"/>
      <c r="L55" s="29"/>
    </row>
    <row r="56" spans="1:12" ht="13" x14ac:dyDescent="0.25">
      <c r="A56" s="25" t="s">
        <v>123</v>
      </c>
      <c r="B56" s="42">
        <v>643</v>
      </c>
      <c r="C56" s="27" t="s">
        <v>124</v>
      </c>
      <c r="D56" s="28"/>
      <c r="E56" s="29"/>
      <c r="H56" s="25" t="s">
        <v>123</v>
      </c>
      <c r="I56" s="42">
        <v>643</v>
      </c>
      <c r="J56" s="27" t="s">
        <v>124</v>
      </c>
      <c r="K56" s="28"/>
      <c r="L56" s="29"/>
    </row>
    <row r="57" spans="1:12" ht="13" x14ac:dyDescent="0.25">
      <c r="A57" s="25" t="s">
        <v>125</v>
      </c>
      <c r="B57" s="38">
        <v>644</v>
      </c>
      <c r="C57" s="27" t="s">
        <v>126</v>
      </c>
      <c r="D57" s="43"/>
      <c r="E57" s="44"/>
      <c r="H57" s="25" t="s">
        <v>125</v>
      </c>
      <c r="I57" s="38">
        <v>644</v>
      </c>
      <c r="J57" s="27" t="s">
        <v>126</v>
      </c>
      <c r="K57" s="43"/>
      <c r="L57" s="44"/>
    </row>
    <row r="58" spans="1:12" ht="13" x14ac:dyDescent="0.25">
      <c r="A58" s="25" t="s">
        <v>127</v>
      </c>
      <c r="B58" s="38">
        <v>645</v>
      </c>
      <c r="C58" s="27" t="s">
        <v>128</v>
      </c>
      <c r="D58" s="28"/>
      <c r="E58" s="29"/>
      <c r="H58" s="25" t="s">
        <v>127</v>
      </c>
      <c r="I58" s="38">
        <v>645</v>
      </c>
      <c r="J58" s="27" t="s">
        <v>128</v>
      </c>
      <c r="K58" s="28"/>
      <c r="L58" s="29"/>
    </row>
    <row r="59" spans="1:12" ht="13" x14ac:dyDescent="0.25">
      <c r="A59" s="25" t="s">
        <v>129</v>
      </c>
      <c r="B59" s="38">
        <v>648</v>
      </c>
      <c r="C59" s="27" t="s">
        <v>130</v>
      </c>
      <c r="D59" s="28"/>
      <c r="E59" s="29"/>
      <c r="H59" s="25" t="s">
        <v>129</v>
      </c>
      <c r="I59" s="38">
        <v>648</v>
      </c>
      <c r="J59" s="27" t="s">
        <v>130</v>
      </c>
      <c r="K59" s="28"/>
      <c r="L59" s="29"/>
    </row>
    <row r="60" spans="1:12" ht="13" x14ac:dyDescent="0.25">
      <c r="A60" s="25" t="s">
        <v>131</v>
      </c>
      <c r="B60" s="38">
        <v>649</v>
      </c>
      <c r="C60" s="27" t="s">
        <v>132</v>
      </c>
      <c r="D60" s="28"/>
      <c r="E60" s="29"/>
      <c r="H60" s="25" t="s">
        <v>131</v>
      </c>
      <c r="I60" s="38">
        <v>649</v>
      </c>
      <c r="J60" s="27" t="s">
        <v>132</v>
      </c>
      <c r="K60" s="28"/>
      <c r="L60" s="29"/>
    </row>
    <row r="61" spans="1:12" ht="13" x14ac:dyDescent="0.25">
      <c r="A61" s="25" t="s">
        <v>133</v>
      </c>
      <c r="B61" s="36" t="s">
        <v>134</v>
      </c>
      <c r="C61" s="27" t="s">
        <v>135</v>
      </c>
      <c r="D61" s="31">
        <v>0</v>
      </c>
      <c r="E61" s="41">
        <v>0</v>
      </c>
      <c r="H61" s="25" t="s">
        <v>133</v>
      </c>
      <c r="I61" s="36" t="s">
        <v>134</v>
      </c>
      <c r="J61" s="27" t="s">
        <v>135</v>
      </c>
      <c r="K61" s="31">
        <v>0</v>
      </c>
      <c r="L61" s="41">
        <v>0</v>
      </c>
    </row>
    <row r="62" spans="1:12" ht="26" x14ac:dyDescent="0.25">
      <c r="A62" s="25" t="s">
        <v>136</v>
      </c>
      <c r="B62" s="38">
        <v>652</v>
      </c>
      <c r="C62" s="27" t="s">
        <v>137</v>
      </c>
      <c r="D62" s="28"/>
      <c r="E62" s="29"/>
      <c r="H62" s="25" t="s">
        <v>136</v>
      </c>
      <c r="I62" s="38">
        <v>652</v>
      </c>
      <c r="J62" s="27" t="s">
        <v>137</v>
      </c>
      <c r="K62" s="28"/>
      <c r="L62" s="29"/>
    </row>
    <row r="63" spans="1:12" ht="26" x14ac:dyDescent="0.25">
      <c r="A63" s="25" t="s">
        <v>138</v>
      </c>
      <c r="B63" s="38">
        <v>653</v>
      </c>
      <c r="C63" s="27" t="s">
        <v>139</v>
      </c>
      <c r="D63" s="28"/>
      <c r="E63" s="29"/>
      <c r="H63" s="25" t="s">
        <v>138</v>
      </c>
      <c r="I63" s="38">
        <v>653</v>
      </c>
      <c r="J63" s="27" t="s">
        <v>139</v>
      </c>
      <c r="K63" s="28"/>
      <c r="L63" s="29"/>
    </row>
    <row r="64" spans="1:12" ht="13" x14ac:dyDescent="0.25">
      <c r="A64" s="25" t="s">
        <v>140</v>
      </c>
      <c r="B64" s="38">
        <v>654</v>
      </c>
      <c r="C64" s="27" t="s">
        <v>141</v>
      </c>
      <c r="D64" s="28"/>
      <c r="E64" s="29"/>
      <c r="H64" s="25" t="s">
        <v>140</v>
      </c>
      <c r="I64" s="38">
        <v>654</v>
      </c>
      <c r="J64" s="27" t="s">
        <v>141</v>
      </c>
      <c r="K64" s="28"/>
      <c r="L64" s="29"/>
    </row>
    <row r="65" spans="1:12" ht="26" x14ac:dyDescent="0.25">
      <c r="A65" s="25" t="s">
        <v>142</v>
      </c>
      <c r="B65" s="38">
        <v>655</v>
      </c>
      <c r="C65" s="27" t="s">
        <v>143</v>
      </c>
      <c r="D65" s="28"/>
      <c r="E65" s="29"/>
      <c r="H65" s="25" t="s">
        <v>142</v>
      </c>
      <c r="I65" s="38">
        <v>655</v>
      </c>
      <c r="J65" s="27" t="s">
        <v>143</v>
      </c>
      <c r="K65" s="28"/>
      <c r="L65" s="29"/>
    </row>
    <row r="66" spans="1:12" ht="26" x14ac:dyDescent="0.25">
      <c r="A66" s="25" t="s">
        <v>144</v>
      </c>
      <c r="B66" s="38">
        <v>657</v>
      </c>
      <c r="C66" s="27" t="s">
        <v>145</v>
      </c>
      <c r="D66" s="28"/>
      <c r="E66" s="29"/>
      <c r="H66" s="25" t="s">
        <v>144</v>
      </c>
      <c r="I66" s="38">
        <v>657</v>
      </c>
      <c r="J66" s="27" t="s">
        <v>145</v>
      </c>
      <c r="K66" s="28"/>
      <c r="L66" s="29"/>
    </row>
    <row r="67" spans="1:12" ht="26.5" thickBot="1" x14ac:dyDescent="0.3">
      <c r="A67" s="32" t="s">
        <v>146</v>
      </c>
      <c r="B67" s="33" t="s">
        <v>147</v>
      </c>
      <c r="C67" s="45" t="s">
        <v>148</v>
      </c>
      <c r="D67" s="34">
        <v>0</v>
      </c>
      <c r="E67" s="35">
        <f>+E54</f>
        <v>242119.46999999997</v>
      </c>
      <c r="H67" s="32" t="s">
        <v>146</v>
      </c>
      <c r="I67" s="33" t="s">
        <v>147</v>
      </c>
      <c r="J67" s="45" t="s">
        <v>148</v>
      </c>
      <c r="K67" s="34">
        <v>0</v>
      </c>
      <c r="L67" s="35">
        <f>+L54</f>
        <v>251199.19</v>
      </c>
    </row>
    <row r="68" spans="1:12" ht="13" x14ac:dyDescent="0.25">
      <c r="A68" s="46" t="s">
        <v>149</v>
      </c>
      <c r="B68" s="36" t="s">
        <v>150</v>
      </c>
      <c r="C68" s="22" t="s">
        <v>151</v>
      </c>
      <c r="D68" s="47">
        <v>0</v>
      </c>
      <c r="E68" s="37">
        <f>+E67-E45</f>
        <v>-396975.38</v>
      </c>
      <c r="H68" s="46" t="s">
        <v>149</v>
      </c>
      <c r="I68" s="36" t="s">
        <v>150</v>
      </c>
      <c r="J68" s="22" t="s">
        <v>151</v>
      </c>
      <c r="K68" s="47">
        <v>0</v>
      </c>
      <c r="L68" s="37">
        <f>+L67-L45</f>
        <v>26772.630000000005</v>
      </c>
    </row>
    <row r="69" spans="1:12" ht="13" x14ac:dyDescent="0.25">
      <c r="A69" s="48" t="s">
        <v>152</v>
      </c>
      <c r="B69" s="36" t="s">
        <v>153</v>
      </c>
      <c r="C69" s="27" t="s">
        <v>154</v>
      </c>
      <c r="D69" s="23">
        <v>0</v>
      </c>
      <c r="E69" s="30">
        <f>+E68</f>
        <v>-396975.38</v>
      </c>
      <c r="H69" s="48" t="s">
        <v>152</v>
      </c>
      <c r="I69" s="36" t="s">
        <v>153</v>
      </c>
      <c r="J69" s="27" t="s">
        <v>154</v>
      </c>
      <c r="K69" s="23">
        <v>0</v>
      </c>
      <c r="L69" s="30">
        <v>26772.629999999976</v>
      </c>
    </row>
    <row r="70" spans="1:12" ht="13" x14ac:dyDescent="0.25">
      <c r="A70" s="46"/>
      <c r="B70" s="49"/>
      <c r="C70" s="27"/>
      <c r="D70" s="97" t="s">
        <v>155</v>
      </c>
      <c r="E70" s="98"/>
      <c r="H70" s="46"/>
      <c r="I70" s="49"/>
      <c r="J70" s="27"/>
      <c r="K70" s="97" t="s">
        <v>155</v>
      </c>
      <c r="L70" s="98"/>
    </row>
    <row r="71" spans="1:12" ht="26" x14ac:dyDescent="0.25">
      <c r="A71" s="46" t="s">
        <v>156</v>
      </c>
      <c r="B71" s="50" t="s">
        <v>157</v>
      </c>
      <c r="C71" s="27" t="s">
        <v>158</v>
      </c>
      <c r="D71" s="99">
        <f>+E69</f>
        <v>-396975.38</v>
      </c>
      <c r="E71" s="100"/>
      <c r="H71" s="46" t="s">
        <v>156</v>
      </c>
      <c r="I71" s="50" t="s">
        <v>157</v>
      </c>
      <c r="J71" s="27" t="s">
        <v>158</v>
      </c>
      <c r="K71" s="99">
        <v>26772.629999999976</v>
      </c>
      <c r="L71" s="100"/>
    </row>
    <row r="72" spans="1:12" ht="26.5" thickBot="1" x14ac:dyDescent="0.3">
      <c r="A72" s="51" t="s">
        <v>159</v>
      </c>
      <c r="B72" s="52" t="s">
        <v>160</v>
      </c>
      <c r="C72" s="45" t="s">
        <v>161</v>
      </c>
      <c r="D72" s="101">
        <f>+D71</f>
        <v>-396975.38</v>
      </c>
      <c r="E72" s="102"/>
      <c r="H72" s="51" t="s">
        <v>159</v>
      </c>
      <c r="I72" s="52" t="s">
        <v>160</v>
      </c>
      <c r="J72" s="45" t="s">
        <v>161</v>
      </c>
      <c r="K72" s="101">
        <v>26772.629999999976</v>
      </c>
      <c r="L72" s="102"/>
    </row>
  </sheetData>
  <mergeCells count="20">
    <mergeCell ref="A1:E1"/>
    <mergeCell ref="A2:E2"/>
    <mergeCell ref="A3:E3"/>
    <mergeCell ref="A4:E4"/>
    <mergeCell ref="A5:E5"/>
    <mergeCell ref="B7:C7"/>
    <mergeCell ref="A46:E46"/>
    <mergeCell ref="D70:E70"/>
    <mergeCell ref="D71:E71"/>
    <mergeCell ref="D72:E72"/>
    <mergeCell ref="H1:L1"/>
    <mergeCell ref="H2:L2"/>
    <mergeCell ref="H3:L3"/>
    <mergeCell ref="H5:L5"/>
    <mergeCell ref="I7:J7"/>
    <mergeCell ref="K70:L70"/>
    <mergeCell ref="K71:L71"/>
    <mergeCell ref="K72:L72"/>
    <mergeCell ref="H4:L4"/>
    <mergeCell ref="H46:L46"/>
  </mergeCells>
  <pageMargins left="0.7" right="0.7" top="0.78740157499999996" bottom="0.78740157499999996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workbookViewId="0">
      <selection sqref="A1:E25"/>
    </sheetView>
  </sheetViews>
  <sheetFormatPr defaultRowHeight="12.5" x14ac:dyDescent="0.25"/>
  <cols>
    <col min="1" max="1" width="37.453125" bestFit="1" customWidth="1"/>
    <col min="2" max="2" width="13.81640625" style="11" bestFit="1" customWidth="1"/>
    <col min="3" max="3" width="14.26953125" bestFit="1" customWidth="1"/>
    <col min="4" max="4" width="36.81640625" customWidth="1"/>
    <col min="5" max="5" width="13.81640625" bestFit="1" customWidth="1"/>
    <col min="6" max="6" width="10.7265625" bestFit="1" customWidth="1"/>
    <col min="8" max="8" width="9.7265625" bestFit="1" customWidth="1"/>
  </cols>
  <sheetData>
    <row r="1" spans="1:8" s="55" customFormat="1" x14ac:dyDescent="0.25">
      <c r="A1" s="75" t="s">
        <v>162</v>
      </c>
      <c r="B1" s="54"/>
      <c r="D1" s="75" t="s">
        <v>163</v>
      </c>
    </row>
    <row r="2" spans="1:8" x14ac:dyDescent="0.25">
      <c r="A2" s="85" t="s">
        <v>164</v>
      </c>
      <c r="B2" s="90" t="s">
        <v>165</v>
      </c>
      <c r="D2" s="85" t="s">
        <v>164</v>
      </c>
      <c r="E2" s="89" t="s">
        <v>165</v>
      </c>
    </row>
    <row r="3" spans="1:8" x14ac:dyDescent="0.25">
      <c r="A3" t="s">
        <v>166</v>
      </c>
      <c r="B3" s="53">
        <v>10613.8</v>
      </c>
      <c r="D3" t="s">
        <v>166</v>
      </c>
      <c r="E3" s="53">
        <v>10930.1</v>
      </c>
    </row>
    <row r="4" spans="1:8" x14ac:dyDescent="0.25">
      <c r="A4" t="s">
        <v>167</v>
      </c>
      <c r="B4" s="53">
        <v>3461.53</v>
      </c>
      <c r="D4" t="s">
        <v>168</v>
      </c>
      <c r="E4" s="53">
        <v>16865.05</v>
      </c>
      <c r="F4" s="72"/>
      <c r="H4" s="72"/>
    </row>
    <row r="5" spans="1:8" x14ac:dyDescent="0.25">
      <c r="A5" t="s">
        <v>168</v>
      </c>
      <c r="B5" s="53">
        <f>11655.33+1099.23</f>
        <v>12754.56</v>
      </c>
      <c r="D5" t="s">
        <v>169</v>
      </c>
      <c r="E5" s="53">
        <v>94224.37</v>
      </c>
      <c r="H5" s="72"/>
    </row>
    <row r="6" spans="1:8" x14ac:dyDescent="0.25">
      <c r="A6" t="s">
        <v>169</v>
      </c>
      <c r="B6" s="53">
        <v>85124.03</v>
      </c>
      <c r="D6" t="s">
        <v>170</v>
      </c>
      <c r="E6" s="53">
        <v>26336.3</v>
      </c>
    </row>
    <row r="7" spans="1:8" x14ac:dyDescent="0.25">
      <c r="A7" t="s">
        <v>170</v>
      </c>
      <c r="B7" s="53">
        <v>76650.95</v>
      </c>
      <c r="D7" t="s">
        <v>171</v>
      </c>
      <c r="E7" s="53">
        <v>3868.36</v>
      </c>
    </row>
    <row r="8" spans="1:8" x14ac:dyDescent="0.25">
      <c r="A8" t="s">
        <v>171</v>
      </c>
      <c r="B8" s="53">
        <v>8757.67</v>
      </c>
      <c r="D8" t="s">
        <v>172</v>
      </c>
      <c r="E8" s="53">
        <v>424.44</v>
      </c>
    </row>
    <row r="9" spans="1:8" x14ac:dyDescent="0.25">
      <c r="A9" t="s">
        <v>172</v>
      </c>
      <c r="B9" s="53">
        <v>1190.92</v>
      </c>
      <c r="D9" t="s">
        <v>173</v>
      </c>
      <c r="E9" s="53">
        <v>7830.6</v>
      </c>
    </row>
    <row r="10" spans="1:8" x14ac:dyDescent="0.25">
      <c r="A10" t="s">
        <v>173</v>
      </c>
      <c r="B10" s="53">
        <v>21780.16</v>
      </c>
      <c r="D10" t="s">
        <v>174</v>
      </c>
      <c r="E10" s="53">
        <v>5769</v>
      </c>
    </row>
    <row r="11" spans="1:8" x14ac:dyDescent="0.25">
      <c r="A11" t="s">
        <v>175</v>
      </c>
      <c r="B11" s="53">
        <v>45453</v>
      </c>
      <c r="D11" t="s">
        <v>176</v>
      </c>
      <c r="E11" s="53">
        <v>84150</v>
      </c>
    </row>
    <row r="12" spans="1:8" x14ac:dyDescent="0.25">
      <c r="A12" t="s">
        <v>177</v>
      </c>
      <c r="B12" s="53">
        <v>25700</v>
      </c>
      <c r="D12" t="s">
        <v>178</v>
      </c>
      <c r="E12" s="53">
        <v>470</v>
      </c>
    </row>
    <row r="13" spans="1:8" x14ac:dyDescent="0.25">
      <c r="A13" t="s">
        <v>174</v>
      </c>
      <c r="B13" s="53">
        <v>200568</v>
      </c>
      <c r="D13" t="s">
        <v>179</v>
      </c>
      <c r="E13" s="53">
        <v>1295.55</v>
      </c>
    </row>
    <row r="14" spans="1:8" x14ac:dyDescent="0.25">
      <c r="A14" t="s">
        <v>176</v>
      </c>
      <c r="B14" s="53">
        <v>88800</v>
      </c>
      <c r="D14" t="s">
        <v>180</v>
      </c>
      <c r="E14" s="53">
        <v>900</v>
      </c>
    </row>
    <row r="15" spans="1:8" x14ac:dyDescent="0.25">
      <c r="A15" t="s">
        <v>178</v>
      </c>
      <c r="B15" s="53">
        <v>18051</v>
      </c>
      <c r="D15" t="s">
        <v>181</v>
      </c>
      <c r="E15" s="53">
        <v>-0.53</v>
      </c>
    </row>
    <row r="16" spans="1:8" x14ac:dyDescent="0.25">
      <c r="A16" t="s">
        <v>179</v>
      </c>
      <c r="B16" s="53">
        <v>49740.87</v>
      </c>
      <c r="D16" t="s">
        <v>182</v>
      </c>
      <c r="E16" s="53">
        <v>430.66</v>
      </c>
    </row>
    <row r="17" spans="1:6" x14ac:dyDescent="0.25">
      <c r="A17" t="s">
        <v>183</v>
      </c>
      <c r="B17" s="53">
        <v>5610</v>
      </c>
      <c r="D17" t="s">
        <v>184</v>
      </c>
      <c r="E17" s="53">
        <v>32</v>
      </c>
      <c r="F17" s="72"/>
    </row>
    <row r="18" spans="1:6" x14ac:dyDescent="0.25">
      <c r="A18" t="s">
        <v>185</v>
      </c>
      <c r="B18" s="53">
        <v>1200</v>
      </c>
      <c r="D18" t="s">
        <v>186</v>
      </c>
      <c r="E18" s="53">
        <v>-29099.34</v>
      </c>
    </row>
    <row r="19" spans="1:6" x14ac:dyDescent="0.25">
      <c r="A19" t="s">
        <v>181</v>
      </c>
      <c r="B19" s="53">
        <v>-0.15</v>
      </c>
      <c r="D19" t="s">
        <v>187</v>
      </c>
      <c r="E19" s="94">
        <v>239627.35</v>
      </c>
    </row>
    <row r="20" spans="1:6" x14ac:dyDescent="0.25">
      <c r="A20" t="s">
        <v>182</v>
      </c>
      <c r="B20" s="53">
        <v>1682.51</v>
      </c>
      <c r="D20" t="s">
        <v>188</v>
      </c>
      <c r="E20" s="94">
        <v>11571.84</v>
      </c>
      <c r="F20" s="72"/>
    </row>
    <row r="21" spans="1:6" x14ac:dyDescent="0.25">
      <c r="A21" t="s">
        <v>184</v>
      </c>
      <c r="B21" s="53">
        <v>1217</v>
      </c>
      <c r="D21" s="7" t="s">
        <v>189</v>
      </c>
      <c r="E21" s="96">
        <f>SUM(E19:E20)-E18-SUM(E3:E17)</f>
        <v>26772.630000000063</v>
      </c>
    </row>
    <row r="22" spans="1:6" x14ac:dyDescent="0.25">
      <c r="A22" t="s">
        <v>186</v>
      </c>
      <c r="B22" s="53">
        <v>-19261.48</v>
      </c>
    </row>
    <row r="23" spans="1:6" x14ac:dyDescent="0.25">
      <c r="A23" t="s">
        <v>187</v>
      </c>
      <c r="B23" s="94">
        <v>222371.08</v>
      </c>
    </row>
    <row r="24" spans="1:6" x14ac:dyDescent="0.25">
      <c r="A24" t="s">
        <v>188</v>
      </c>
      <c r="B24" s="94">
        <v>19748.39</v>
      </c>
      <c r="C24" s="56"/>
    </row>
    <row r="25" spans="1:6" x14ac:dyDescent="0.25">
      <c r="A25" s="7" t="s">
        <v>189</v>
      </c>
      <c r="B25" s="95">
        <f>SUM(B23:B24)-B22-SUM(B3:B21)</f>
        <v>-396974.9</v>
      </c>
      <c r="E25" s="72"/>
    </row>
    <row r="29" spans="1:6" x14ac:dyDescent="0.25">
      <c r="E29" s="72"/>
    </row>
  </sheetData>
  <pageMargins left="0.7" right="0.7" top="0.78740157499999996" bottom="0.78740157499999996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8"/>
  <sheetViews>
    <sheetView topLeftCell="F1" workbookViewId="0">
      <selection activeCell="H1" sqref="H1:M92"/>
    </sheetView>
  </sheetViews>
  <sheetFormatPr defaultRowHeight="12.5" outlineLevelRow="2" x14ac:dyDescent="0.25"/>
  <cols>
    <col min="1" max="1" width="14" customWidth="1"/>
    <col min="2" max="2" width="38" customWidth="1"/>
    <col min="3" max="3" width="12" bestFit="1" customWidth="1"/>
    <col min="4" max="4" width="16" bestFit="1" customWidth="1"/>
    <col min="5" max="5" width="11" bestFit="1" customWidth="1"/>
    <col min="6" max="6" width="42" bestFit="1" customWidth="1"/>
    <col min="7" max="7" width="10.7265625" bestFit="1" customWidth="1"/>
    <col min="8" max="8" width="10.81640625" customWidth="1"/>
    <col min="9" max="9" width="30.81640625" customWidth="1"/>
    <col min="10" max="10" width="14.81640625" customWidth="1"/>
    <col min="11" max="11" width="13.81640625" bestFit="1" customWidth="1"/>
    <col min="12" max="12" width="9.81640625" bestFit="1" customWidth="1"/>
    <col min="13" max="13" width="44.1796875" bestFit="1" customWidth="1"/>
    <col min="14" max="14" width="10.7265625" bestFit="1" customWidth="1"/>
    <col min="15" max="15" width="13.26953125" customWidth="1"/>
  </cols>
  <sheetData>
    <row r="1" spans="1:13" ht="25" x14ac:dyDescent="0.25">
      <c r="A1" s="10" t="s">
        <v>190</v>
      </c>
      <c r="B1" s="84" t="s">
        <v>191</v>
      </c>
      <c r="C1" s="86" t="s">
        <v>192</v>
      </c>
      <c r="D1" s="1" t="s">
        <v>193</v>
      </c>
      <c r="E1" s="1" t="s">
        <v>194</v>
      </c>
      <c r="F1" s="1" t="s">
        <v>195</v>
      </c>
      <c r="H1" s="10" t="s">
        <v>190</v>
      </c>
      <c r="I1" s="84" t="s">
        <v>191</v>
      </c>
      <c r="J1" s="86" t="s">
        <v>196</v>
      </c>
      <c r="K1" s="1" t="s">
        <v>193</v>
      </c>
      <c r="L1" s="1" t="s">
        <v>194</v>
      </c>
      <c r="M1" s="1" t="s">
        <v>195</v>
      </c>
    </row>
    <row r="2" spans="1:13" outlineLevel="2" x14ac:dyDescent="0.25">
      <c r="A2" t="s">
        <v>197</v>
      </c>
      <c r="B2" t="s">
        <v>198</v>
      </c>
      <c r="C2" s="2">
        <v>3022.08</v>
      </c>
      <c r="D2" s="3">
        <v>45758</v>
      </c>
      <c r="E2" t="s">
        <v>199</v>
      </c>
      <c r="F2" t="s">
        <v>200</v>
      </c>
      <c r="H2" t="s">
        <v>197</v>
      </c>
      <c r="I2" t="s">
        <v>198</v>
      </c>
      <c r="J2" s="2">
        <v>8285.14</v>
      </c>
      <c r="K2" s="3">
        <v>45544</v>
      </c>
      <c r="L2" t="s">
        <v>201</v>
      </c>
      <c r="M2" t="s">
        <v>202</v>
      </c>
    </row>
    <row r="3" spans="1:13" outlineLevel="2" x14ac:dyDescent="0.25">
      <c r="A3" t="s">
        <v>197</v>
      </c>
      <c r="B3" t="s">
        <v>198</v>
      </c>
      <c r="C3" s="2">
        <v>1950</v>
      </c>
      <c r="D3" s="3">
        <v>45884</v>
      </c>
      <c r="E3" t="s">
        <v>203</v>
      </c>
      <c r="F3" t="s">
        <v>204</v>
      </c>
      <c r="H3" t="s">
        <v>197</v>
      </c>
      <c r="I3" t="s">
        <v>198</v>
      </c>
      <c r="J3" s="2">
        <v>2182.15</v>
      </c>
      <c r="K3" s="3">
        <v>45631</v>
      </c>
      <c r="L3" t="s">
        <v>205</v>
      </c>
      <c r="M3" t="s">
        <v>206</v>
      </c>
    </row>
    <row r="4" spans="1:13" outlineLevel="2" x14ac:dyDescent="0.25">
      <c r="A4" t="s">
        <v>197</v>
      </c>
      <c r="B4" t="s">
        <v>198</v>
      </c>
      <c r="C4" s="2">
        <v>1960</v>
      </c>
      <c r="D4" s="3">
        <v>45884</v>
      </c>
      <c r="E4" t="s">
        <v>203</v>
      </c>
      <c r="F4" t="s">
        <v>207</v>
      </c>
      <c r="H4" t="s">
        <v>197</v>
      </c>
      <c r="I4" t="s">
        <v>198</v>
      </c>
      <c r="J4" s="2">
        <v>462.81</v>
      </c>
      <c r="K4" s="3">
        <v>45644</v>
      </c>
      <c r="L4" t="s">
        <v>205</v>
      </c>
      <c r="M4" t="s">
        <v>208</v>
      </c>
    </row>
    <row r="5" spans="1:13" outlineLevel="2" x14ac:dyDescent="0.25">
      <c r="A5" t="s">
        <v>197</v>
      </c>
      <c r="B5" t="s">
        <v>198</v>
      </c>
      <c r="C5" s="2">
        <v>1681.72</v>
      </c>
      <c r="D5" s="3">
        <v>45839</v>
      </c>
      <c r="E5" t="s">
        <v>209</v>
      </c>
      <c r="F5" t="s">
        <v>210</v>
      </c>
      <c r="H5" s="4" t="s">
        <v>197</v>
      </c>
      <c r="I5" s="4"/>
      <c r="J5" s="5">
        <v>10930.1</v>
      </c>
      <c r="K5" s="6"/>
      <c r="L5" s="4" t="s">
        <v>189</v>
      </c>
      <c r="M5" s="4" t="s">
        <v>189</v>
      </c>
    </row>
    <row r="6" spans="1:13" outlineLevel="2" x14ac:dyDescent="0.25">
      <c r="A6" t="s">
        <v>197</v>
      </c>
      <c r="B6" t="s">
        <v>198</v>
      </c>
      <c r="C6" s="2">
        <v>2000</v>
      </c>
      <c r="D6" s="3">
        <v>45900</v>
      </c>
      <c r="E6" t="s">
        <v>203</v>
      </c>
      <c r="F6" t="s">
        <v>211</v>
      </c>
      <c r="H6" t="s">
        <v>212</v>
      </c>
      <c r="I6" t="s">
        <v>213</v>
      </c>
      <c r="J6" s="2">
        <v>2800</v>
      </c>
      <c r="K6" s="3">
        <v>45541</v>
      </c>
      <c r="L6" t="s">
        <v>201</v>
      </c>
      <c r="M6" t="s">
        <v>214</v>
      </c>
    </row>
    <row r="7" spans="1:13" outlineLevel="1" x14ac:dyDescent="0.25">
      <c r="A7" s="4" t="s">
        <v>197</v>
      </c>
      <c r="B7" s="4"/>
      <c r="C7" s="5">
        <v>10613.8</v>
      </c>
      <c r="D7" s="6"/>
      <c r="E7" s="4" t="s">
        <v>189</v>
      </c>
      <c r="F7" s="4" t="s">
        <v>189</v>
      </c>
      <c r="H7" t="s">
        <v>212</v>
      </c>
      <c r="I7" t="s">
        <v>213</v>
      </c>
      <c r="J7" s="2">
        <v>3511.57</v>
      </c>
      <c r="K7" s="3">
        <v>45548</v>
      </c>
      <c r="L7" t="s">
        <v>201</v>
      </c>
      <c r="M7" t="s">
        <v>215</v>
      </c>
    </row>
    <row r="8" spans="1:13" outlineLevel="2" x14ac:dyDescent="0.25">
      <c r="A8" t="s">
        <v>216</v>
      </c>
      <c r="B8" t="s">
        <v>217</v>
      </c>
      <c r="C8" s="2">
        <v>2132.23</v>
      </c>
      <c r="D8" s="3">
        <v>45833</v>
      </c>
      <c r="E8" t="s">
        <v>218</v>
      </c>
      <c r="F8" t="s">
        <v>219</v>
      </c>
      <c r="H8" t="s">
        <v>212</v>
      </c>
      <c r="I8" t="s">
        <v>213</v>
      </c>
      <c r="J8" s="2">
        <v>15449</v>
      </c>
      <c r="K8" s="3">
        <v>45532</v>
      </c>
      <c r="L8" t="s">
        <v>220</v>
      </c>
      <c r="M8" t="s">
        <v>221</v>
      </c>
    </row>
    <row r="9" spans="1:13" outlineLevel="2" x14ac:dyDescent="0.25">
      <c r="A9" t="s">
        <v>216</v>
      </c>
      <c r="B9" t="s">
        <v>217</v>
      </c>
      <c r="C9" s="2">
        <v>168.59</v>
      </c>
      <c r="D9" s="3">
        <v>45839</v>
      </c>
      <c r="E9" t="s">
        <v>209</v>
      </c>
      <c r="F9" t="s">
        <v>222</v>
      </c>
      <c r="H9" t="s">
        <v>212</v>
      </c>
      <c r="I9" t="s">
        <v>213</v>
      </c>
      <c r="J9" s="2">
        <v>2923.66</v>
      </c>
      <c r="K9" s="3">
        <v>45544</v>
      </c>
      <c r="L9" t="s">
        <v>201</v>
      </c>
      <c r="M9" t="s">
        <v>223</v>
      </c>
    </row>
    <row r="10" spans="1:13" outlineLevel="2" x14ac:dyDescent="0.25">
      <c r="A10" t="s">
        <v>216</v>
      </c>
      <c r="B10" t="s">
        <v>217</v>
      </c>
      <c r="C10" s="2">
        <v>1160.71</v>
      </c>
      <c r="D10" s="3">
        <v>45839</v>
      </c>
      <c r="E10" t="s">
        <v>209</v>
      </c>
      <c r="F10" t="s">
        <v>224</v>
      </c>
      <c r="H10" t="s">
        <v>212</v>
      </c>
      <c r="I10" t="s">
        <v>213</v>
      </c>
      <c r="J10" s="2">
        <v>1652.07</v>
      </c>
      <c r="K10" s="3">
        <v>45644</v>
      </c>
      <c r="L10" t="s">
        <v>205</v>
      </c>
      <c r="M10" t="s">
        <v>225</v>
      </c>
    </row>
    <row r="11" spans="1:13" outlineLevel="1" x14ac:dyDescent="0.25">
      <c r="A11" s="4" t="s">
        <v>216</v>
      </c>
      <c r="B11" s="4"/>
      <c r="C11" s="5">
        <v>3461.53</v>
      </c>
      <c r="D11" s="6"/>
      <c r="E11" s="4" t="s">
        <v>189</v>
      </c>
      <c r="F11" s="4" t="s">
        <v>189</v>
      </c>
      <c r="H11" s="4" t="s">
        <v>212</v>
      </c>
      <c r="I11" s="4"/>
      <c r="J11" s="5">
        <v>26336.3</v>
      </c>
      <c r="K11" s="6"/>
      <c r="L11" s="4" t="s">
        <v>189</v>
      </c>
      <c r="M11" s="4" t="s">
        <v>189</v>
      </c>
    </row>
    <row r="12" spans="1:13" outlineLevel="2" x14ac:dyDescent="0.25">
      <c r="A12" t="s">
        <v>212</v>
      </c>
      <c r="B12" t="s">
        <v>213</v>
      </c>
      <c r="C12" s="2">
        <v>76650.95</v>
      </c>
      <c r="D12" s="3">
        <v>45826</v>
      </c>
      <c r="E12" t="s">
        <v>218</v>
      </c>
      <c r="F12" t="s">
        <v>226</v>
      </c>
      <c r="H12" t="s">
        <v>227</v>
      </c>
      <c r="I12" t="s">
        <v>228</v>
      </c>
      <c r="J12" s="2">
        <v>5830.75</v>
      </c>
      <c r="K12" s="3">
        <v>45596</v>
      </c>
      <c r="L12" t="s">
        <v>229</v>
      </c>
      <c r="M12" t="s">
        <v>230</v>
      </c>
    </row>
    <row r="13" spans="1:13" outlineLevel="1" x14ac:dyDescent="0.25">
      <c r="A13" s="4" t="s">
        <v>212</v>
      </c>
      <c r="B13" s="4"/>
      <c r="C13" s="5">
        <v>76650.95</v>
      </c>
      <c r="D13" s="6"/>
      <c r="E13" s="4" t="s">
        <v>189</v>
      </c>
      <c r="F13" s="4" t="s">
        <v>189</v>
      </c>
      <c r="H13" t="s">
        <v>227</v>
      </c>
      <c r="I13" t="s">
        <v>228</v>
      </c>
      <c r="J13" s="2">
        <f>-8600+9946.88</f>
        <v>1346.8799999999992</v>
      </c>
      <c r="K13" s="3">
        <v>45626</v>
      </c>
      <c r="L13" t="s">
        <v>231</v>
      </c>
      <c r="M13" t="s">
        <v>230</v>
      </c>
    </row>
    <row r="14" spans="1:13" outlineLevel="2" x14ac:dyDescent="0.25">
      <c r="A14" t="s">
        <v>227</v>
      </c>
      <c r="B14" t="s">
        <v>228</v>
      </c>
      <c r="C14" s="2">
        <v>183.03</v>
      </c>
      <c r="D14" s="3">
        <v>45688</v>
      </c>
      <c r="E14" t="s">
        <v>232</v>
      </c>
      <c r="F14" t="s">
        <v>230</v>
      </c>
      <c r="H14" t="s">
        <v>227</v>
      </c>
      <c r="I14" t="s">
        <v>228</v>
      </c>
      <c r="J14" s="2">
        <f>-7897.88+16316.91</f>
        <v>8419.0299999999988</v>
      </c>
      <c r="K14" s="3">
        <v>45657</v>
      </c>
      <c r="L14" t="s">
        <v>205</v>
      </c>
      <c r="M14" t="s">
        <v>230</v>
      </c>
    </row>
    <row r="15" spans="1:13" outlineLevel="2" x14ac:dyDescent="0.25">
      <c r="A15" t="s">
        <v>227</v>
      </c>
      <c r="B15" t="s">
        <v>228</v>
      </c>
      <c r="C15" s="2">
        <f>0.64+146.79</f>
        <v>147.42999999999998</v>
      </c>
      <c r="D15" s="3">
        <v>45716</v>
      </c>
      <c r="E15" t="s">
        <v>233</v>
      </c>
      <c r="F15" t="s">
        <v>230</v>
      </c>
      <c r="H15" t="s">
        <v>227</v>
      </c>
      <c r="I15" t="s">
        <v>228</v>
      </c>
      <c r="J15" s="2">
        <v>1268.3900000000001</v>
      </c>
      <c r="K15" s="3">
        <v>45565</v>
      </c>
      <c r="L15" t="s">
        <v>201</v>
      </c>
      <c r="M15" t="s">
        <v>230</v>
      </c>
    </row>
    <row r="16" spans="1:13" outlineLevel="2" x14ac:dyDescent="0.25">
      <c r="A16" t="s">
        <v>227</v>
      </c>
      <c r="B16" t="s">
        <v>228</v>
      </c>
      <c r="C16" s="2">
        <v>2065.17</v>
      </c>
      <c r="D16" s="3">
        <v>45747</v>
      </c>
      <c r="E16" t="s">
        <v>234</v>
      </c>
      <c r="F16" t="s">
        <v>230</v>
      </c>
      <c r="H16" s="4" t="s">
        <v>227</v>
      </c>
      <c r="I16" s="4"/>
      <c r="J16" s="5">
        <f>SUM(J12:J15)</f>
        <v>16865.05</v>
      </c>
      <c r="K16" s="6"/>
      <c r="L16" s="4" t="s">
        <v>189</v>
      </c>
      <c r="M16" s="4" t="s">
        <v>189</v>
      </c>
    </row>
    <row r="17" spans="1:13" outlineLevel="2" x14ac:dyDescent="0.25">
      <c r="A17" t="s">
        <v>227</v>
      </c>
      <c r="B17" t="s">
        <v>228</v>
      </c>
      <c r="C17" s="2">
        <v>2171.5</v>
      </c>
      <c r="D17" s="3">
        <v>45777</v>
      </c>
      <c r="E17" t="s">
        <v>199</v>
      </c>
      <c r="F17" t="s">
        <v>230</v>
      </c>
      <c r="H17" t="s">
        <v>235</v>
      </c>
      <c r="I17" t="s">
        <v>236</v>
      </c>
      <c r="J17" s="2">
        <v>1463.77</v>
      </c>
      <c r="K17" s="3">
        <v>45596</v>
      </c>
      <c r="L17" t="s">
        <v>229</v>
      </c>
      <c r="M17" t="s">
        <v>237</v>
      </c>
    </row>
    <row r="18" spans="1:13" outlineLevel="2" x14ac:dyDescent="0.25">
      <c r="A18" t="s">
        <v>227</v>
      </c>
      <c r="B18" t="s">
        <v>228</v>
      </c>
      <c r="C18" s="2">
        <v>269.48</v>
      </c>
      <c r="D18" s="3">
        <v>45808</v>
      </c>
      <c r="E18" t="s">
        <v>238</v>
      </c>
      <c r="F18" t="s">
        <v>230</v>
      </c>
      <c r="H18" t="s">
        <v>235</v>
      </c>
      <c r="I18" t="s">
        <v>236</v>
      </c>
      <c r="J18" s="2">
        <v>1383.69</v>
      </c>
      <c r="K18" s="3">
        <v>45626</v>
      </c>
      <c r="L18" t="s">
        <v>231</v>
      </c>
      <c r="M18" t="s">
        <v>239</v>
      </c>
    </row>
    <row r="19" spans="1:13" outlineLevel="2" x14ac:dyDescent="0.25">
      <c r="A19" t="s">
        <v>227</v>
      </c>
      <c r="B19" t="s">
        <v>228</v>
      </c>
      <c r="C19" s="2">
        <v>139.41999999999999</v>
      </c>
      <c r="D19" s="3">
        <v>45838</v>
      </c>
      <c r="E19" t="s">
        <v>218</v>
      </c>
      <c r="F19" t="s">
        <v>230</v>
      </c>
      <c r="H19" t="s">
        <v>235</v>
      </c>
      <c r="I19" t="s">
        <v>236</v>
      </c>
      <c r="J19" s="2">
        <v>1020.9</v>
      </c>
      <c r="K19" s="3">
        <v>45657</v>
      </c>
      <c r="L19" t="s">
        <v>205</v>
      </c>
      <c r="M19" t="s">
        <v>240</v>
      </c>
    </row>
    <row r="20" spans="1:13" outlineLevel="2" x14ac:dyDescent="0.25">
      <c r="A20" t="s">
        <v>227</v>
      </c>
      <c r="B20" t="s">
        <v>228</v>
      </c>
      <c r="C20" s="2">
        <v>7778.53</v>
      </c>
      <c r="D20" s="3">
        <v>45900</v>
      </c>
      <c r="E20" t="s">
        <v>203</v>
      </c>
      <c r="F20" t="s">
        <v>230</v>
      </c>
      <c r="H20" s="4" t="s">
        <v>235</v>
      </c>
      <c r="I20" s="4"/>
      <c r="J20" s="5">
        <v>3868.36</v>
      </c>
      <c r="K20" s="6"/>
      <c r="L20" s="4" t="s">
        <v>189</v>
      </c>
      <c r="M20" s="4" t="s">
        <v>189</v>
      </c>
    </row>
    <row r="21" spans="1:13" outlineLevel="2" x14ac:dyDescent="0.25">
      <c r="A21" s="4" t="s">
        <v>227</v>
      </c>
      <c r="B21" s="4"/>
      <c r="C21" s="5">
        <f>SUM(C14:C20)</f>
        <v>12754.560000000001</v>
      </c>
      <c r="D21" s="6"/>
      <c r="E21" s="4" t="s">
        <v>189</v>
      </c>
      <c r="F21" s="4" t="s">
        <v>189</v>
      </c>
      <c r="H21" t="s">
        <v>241</v>
      </c>
      <c r="I21" t="s">
        <v>242</v>
      </c>
      <c r="J21" s="2">
        <v>141.47999999999999</v>
      </c>
      <c r="K21" s="3">
        <v>45596</v>
      </c>
      <c r="L21" t="s">
        <v>229</v>
      </c>
      <c r="M21" t="s">
        <v>243</v>
      </c>
    </row>
    <row r="22" spans="1:13" outlineLevel="1" x14ac:dyDescent="0.25">
      <c r="A22" t="s">
        <v>235</v>
      </c>
      <c r="B22" t="s">
        <v>236</v>
      </c>
      <c r="C22" s="2">
        <v>1139.5999999999999</v>
      </c>
      <c r="D22" s="3">
        <v>45716</v>
      </c>
      <c r="E22" t="s">
        <v>233</v>
      </c>
      <c r="F22" t="s">
        <v>244</v>
      </c>
      <c r="H22" t="s">
        <v>241</v>
      </c>
      <c r="I22" t="s">
        <v>242</v>
      </c>
      <c r="J22" s="2">
        <v>141.47999999999999</v>
      </c>
      <c r="K22" s="3">
        <v>45626</v>
      </c>
      <c r="L22" t="s">
        <v>231</v>
      </c>
      <c r="M22" t="s">
        <v>245</v>
      </c>
    </row>
    <row r="23" spans="1:13" outlineLevel="2" x14ac:dyDescent="0.25">
      <c r="A23" t="s">
        <v>235</v>
      </c>
      <c r="B23" t="s">
        <v>236</v>
      </c>
      <c r="C23" s="2">
        <v>1501.5</v>
      </c>
      <c r="D23" s="3">
        <v>45747</v>
      </c>
      <c r="E23" t="s">
        <v>234</v>
      </c>
      <c r="F23" t="s">
        <v>246</v>
      </c>
      <c r="H23" t="s">
        <v>241</v>
      </c>
      <c r="I23" t="s">
        <v>242</v>
      </c>
      <c r="J23" s="2">
        <v>141.47999999999999</v>
      </c>
      <c r="K23" s="3">
        <v>45657</v>
      </c>
      <c r="L23" t="s">
        <v>205</v>
      </c>
      <c r="M23" t="s">
        <v>247</v>
      </c>
    </row>
    <row r="24" spans="1:13" outlineLevel="2" x14ac:dyDescent="0.25">
      <c r="A24" t="s">
        <v>235</v>
      </c>
      <c r="B24" t="s">
        <v>236</v>
      </c>
      <c r="C24" s="2">
        <v>1235.8499999999999</v>
      </c>
      <c r="D24" s="3">
        <v>45777</v>
      </c>
      <c r="E24" t="s">
        <v>199</v>
      </c>
      <c r="F24" t="s">
        <v>248</v>
      </c>
      <c r="H24" s="4" t="s">
        <v>241</v>
      </c>
      <c r="I24" s="4"/>
      <c r="J24" s="5">
        <v>424.44</v>
      </c>
      <c r="K24" s="6"/>
      <c r="L24" s="4" t="s">
        <v>189</v>
      </c>
      <c r="M24" s="4" t="s">
        <v>189</v>
      </c>
    </row>
    <row r="25" spans="1:13" outlineLevel="2" x14ac:dyDescent="0.25">
      <c r="A25" t="s">
        <v>235</v>
      </c>
      <c r="B25" t="s">
        <v>236</v>
      </c>
      <c r="C25" s="2">
        <v>1239.7</v>
      </c>
      <c r="D25" s="3">
        <v>45808</v>
      </c>
      <c r="E25" t="s">
        <v>238</v>
      </c>
      <c r="F25" t="s">
        <v>249</v>
      </c>
      <c r="H25" t="s">
        <v>250</v>
      </c>
      <c r="I25" t="s">
        <v>251</v>
      </c>
      <c r="J25" s="2">
        <v>2399.4</v>
      </c>
      <c r="K25" s="3">
        <v>45596</v>
      </c>
      <c r="L25" t="s">
        <v>229</v>
      </c>
      <c r="M25" t="s">
        <v>252</v>
      </c>
    </row>
    <row r="26" spans="1:13" outlineLevel="2" x14ac:dyDescent="0.25">
      <c r="A26" t="s">
        <v>235</v>
      </c>
      <c r="B26" t="s">
        <v>236</v>
      </c>
      <c r="C26" s="2">
        <v>1389.85</v>
      </c>
      <c r="D26" s="3">
        <v>45838</v>
      </c>
      <c r="E26" t="s">
        <v>218</v>
      </c>
      <c r="F26" t="s">
        <v>253</v>
      </c>
      <c r="H26" t="s">
        <v>250</v>
      </c>
      <c r="I26" t="s">
        <v>251</v>
      </c>
      <c r="J26" s="2">
        <v>2715.6</v>
      </c>
      <c r="K26" s="3">
        <v>45626</v>
      </c>
      <c r="L26" t="s">
        <v>231</v>
      </c>
      <c r="M26" t="s">
        <v>254</v>
      </c>
    </row>
    <row r="27" spans="1:13" outlineLevel="2" x14ac:dyDescent="0.25">
      <c r="A27" t="s">
        <v>235</v>
      </c>
      <c r="B27" t="s">
        <v>236</v>
      </c>
      <c r="C27" s="2">
        <v>1173.17</v>
      </c>
      <c r="D27" s="3">
        <v>45869</v>
      </c>
      <c r="E27" t="s">
        <v>209</v>
      </c>
      <c r="F27" t="s">
        <v>255</v>
      </c>
      <c r="H27" t="s">
        <v>250</v>
      </c>
      <c r="I27" t="s">
        <v>251</v>
      </c>
      <c r="J27" s="2">
        <v>2715.6</v>
      </c>
      <c r="K27" s="3">
        <v>45657</v>
      </c>
      <c r="L27" t="s">
        <v>205</v>
      </c>
      <c r="M27" t="s">
        <v>256</v>
      </c>
    </row>
    <row r="28" spans="1:13" outlineLevel="2" x14ac:dyDescent="0.25">
      <c r="A28" t="s">
        <v>235</v>
      </c>
      <c r="B28" t="s">
        <v>236</v>
      </c>
      <c r="C28" s="2">
        <v>1078</v>
      </c>
      <c r="D28" s="3">
        <v>45900</v>
      </c>
      <c r="E28" t="s">
        <v>203</v>
      </c>
      <c r="F28" t="s">
        <v>257</v>
      </c>
      <c r="H28" s="4" t="s">
        <v>250</v>
      </c>
      <c r="I28" s="4"/>
      <c r="J28" s="5">
        <v>7830.6</v>
      </c>
      <c r="K28" s="6"/>
      <c r="L28" s="4" t="s">
        <v>189</v>
      </c>
      <c r="M28" s="4" t="s">
        <v>189</v>
      </c>
    </row>
    <row r="29" spans="1:13" outlineLevel="2" x14ac:dyDescent="0.25">
      <c r="A29" s="4" t="s">
        <v>235</v>
      </c>
      <c r="B29" s="4"/>
      <c r="C29" s="5">
        <v>8757.67</v>
      </c>
      <c r="D29" s="6"/>
      <c r="E29" s="4" t="s">
        <v>189</v>
      </c>
      <c r="F29" s="4" t="s">
        <v>189</v>
      </c>
      <c r="H29" t="s">
        <v>258</v>
      </c>
      <c r="I29" t="s">
        <v>259</v>
      </c>
      <c r="J29" s="2">
        <v>19056.48</v>
      </c>
      <c r="K29" s="3">
        <v>45596</v>
      </c>
      <c r="L29" t="s">
        <v>229</v>
      </c>
      <c r="M29" t="s">
        <v>260</v>
      </c>
    </row>
    <row r="30" spans="1:13" outlineLevel="1" x14ac:dyDescent="0.25">
      <c r="A30" t="s">
        <v>241</v>
      </c>
      <c r="B30" t="s">
        <v>242</v>
      </c>
      <c r="C30" s="2">
        <v>145.4</v>
      </c>
      <c r="D30" s="3">
        <v>45688</v>
      </c>
      <c r="E30" t="s">
        <v>232</v>
      </c>
      <c r="F30" t="s">
        <v>261</v>
      </c>
      <c r="H30" t="s">
        <v>258</v>
      </c>
      <c r="I30" t="s">
        <v>259</v>
      </c>
      <c r="J30" s="2">
        <f>8600+23897.53</f>
        <v>32497.53</v>
      </c>
      <c r="K30" s="3">
        <v>45626</v>
      </c>
      <c r="L30" t="s">
        <v>231</v>
      </c>
      <c r="M30" t="s">
        <v>260</v>
      </c>
    </row>
    <row r="31" spans="1:13" outlineLevel="2" x14ac:dyDescent="0.25">
      <c r="A31" t="s">
        <v>241</v>
      </c>
      <c r="B31" t="s">
        <v>242</v>
      </c>
      <c r="C31" s="2">
        <v>145.4</v>
      </c>
      <c r="D31" s="3">
        <v>45716</v>
      </c>
      <c r="E31" t="s">
        <v>233</v>
      </c>
      <c r="F31" t="s">
        <v>262</v>
      </c>
      <c r="H31" t="s">
        <v>258</v>
      </c>
      <c r="I31" t="s">
        <v>259</v>
      </c>
      <c r="J31" s="2">
        <f>25376.43+7897.88</f>
        <v>33274.31</v>
      </c>
      <c r="K31" s="3">
        <v>45657</v>
      </c>
      <c r="L31" t="s">
        <v>205</v>
      </c>
      <c r="M31" t="s">
        <v>260</v>
      </c>
    </row>
    <row r="32" spans="1:13" outlineLevel="2" x14ac:dyDescent="0.25">
      <c r="A32" t="s">
        <v>241</v>
      </c>
      <c r="B32" t="s">
        <v>242</v>
      </c>
      <c r="C32" s="2">
        <v>145.4</v>
      </c>
      <c r="D32" s="3">
        <v>45747</v>
      </c>
      <c r="E32" t="s">
        <v>234</v>
      </c>
      <c r="F32" t="s">
        <v>263</v>
      </c>
      <c r="H32" t="s">
        <v>258</v>
      </c>
      <c r="I32" t="s">
        <v>259</v>
      </c>
      <c r="J32" s="2">
        <v>9396.0499999999993</v>
      </c>
      <c r="K32" s="3">
        <v>45565</v>
      </c>
      <c r="L32" t="s">
        <v>201</v>
      </c>
      <c r="M32" t="s">
        <v>260</v>
      </c>
    </row>
    <row r="33" spans="1:13" outlineLevel="2" x14ac:dyDescent="0.25">
      <c r="A33" t="s">
        <v>241</v>
      </c>
      <c r="B33" t="s">
        <v>242</v>
      </c>
      <c r="C33" s="2">
        <v>145.4</v>
      </c>
      <c r="D33" s="3">
        <v>45777</v>
      </c>
      <c r="E33" t="s">
        <v>199</v>
      </c>
      <c r="F33" t="s">
        <v>264</v>
      </c>
      <c r="H33" s="4" t="s">
        <v>258</v>
      </c>
      <c r="I33" s="4"/>
      <c r="J33" s="5">
        <f>SUM(J29:J32)</f>
        <v>94224.37</v>
      </c>
      <c r="K33" s="6"/>
      <c r="L33" s="4" t="s">
        <v>189</v>
      </c>
      <c r="M33" s="4" t="s">
        <v>189</v>
      </c>
    </row>
    <row r="34" spans="1:13" outlineLevel="2" x14ac:dyDescent="0.25">
      <c r="A34" t="s">
        <v>241</v>
      </c>
      <c r="B34" t="s">
        <v>242</v>
      </c>
      <c r="C34" s="2">
        <v>145.4</v>
      </c>
      <c r="D34" s="3">
        <v>45808</v>
      </c>
      <c r="E34" t="s">
        <v>238</v>
      </c>
      <c r="F34" t="s">
        <v>265</v>
      </c>
      <c r="H34" t="s">
        <v>266</v>
      </c>
      <c r="I34" t="s">
        <v>267</v>
      </c>
      <c r="J34" s="2">
        <v>5224</v>
      </c>
      <c r="K34" s="3">
        <v>45565</v>
      </c>
      <c r="L34" t="s">
        <v>201</v>
      </c>
      <c r="M34" t="s">
        <v>268</v>
      </c>
    </row>
    <row r="35" spans="1:13" outlineLevel="2" x14ac:dyDescent="0.25">
      <c r="A35" t="s">
        <v>241</v>
      </c>
      <c r="B35" t="s">
        <v>242</v>
      </c>
      <c r="C35" s="2">
        <v>145.4</v>
      </c>
      <c r="D35" s="3">
        <v>45838</v>
      </c>
      <c r="E35" t="s">
        <v>218</v>
      </c>
      <c r="F35" t="s">
        <v>269</v>
      </c>
      <c r="H35" t="s">
        <v>266</v>
      </c>
      <c r="I35" t="s">
        <v>267</v>
      </c>
      <c r="J35" s="2">
        <v>526</v>
      </c>
      <c r="K35" s="3">
        <v>45596</v>
      </c>
      <c r="L35" t="s">
        <v>229</v>
      </c>
      <c r="M35" t="s">
        <v>268</v>
      </c>
    </row>
    <row r="36" spans="1:13" outlineLevel="2" x14ac:dyDescent="0.25">
      <c r="A36" t="s">
        <v>241</v>
      </c>
      <c r="B36" t="s">
        <v>242</v>
      </c>
      <c r="C36" s="2">
        <v>159.26</v>
      </c>
      <c r="D36" s="3">
        <v>45869</v>
      </c>
      <c r="E36" t="s">
        <v>209</v>
      </c>
      <c r="F36" t="s">
        <v>270</v>
      </c>
      <c r="H36" t="s">
        <v>266</v>
      </c>
      <c r="I36" t="s">
        <v>267</v>
      </c>
      <c r="J36" s="2">
        <v>19</v>
      </c>
      <c r="K36" s="3">
        <v>45657</v>
      </c>
      <c r="L36" t="s">
        <v>205</v>
      </c>
      <c r="M36" t="s">
        <v>268</v>
      </c>
    </row>
    <row r="37" spans="1:13" outlineLevel="2" x14ac:dyDescent="0.25">
      <c r="A37" t="s">
        <v>241</v>
      </c>
      <c r="B37" t="s">
        <v>242</v>
      </c>
      <c r="C37" s="2">
        <v>159.26</v>
      </c>
      <c r="D37" s="3">
        <v>45900</v>
      </c>
      <c r="E37" t="s">
        <v>203</v>
      </c>
      <c r="F37" t="s">
        <v>271</v>
      </c>
      <c r="H37" s="4" t="s">
        <v>266</v>
      </c>
      <c r="I37" s="4"/>
      <c r="J37" s="5">
        <v>5769</v>
      </c>
      <c r="K37" s="6"/>
      <c r="L37" s="4" t="s">
        <v>189</v>
      </c>
      <c r="M37" s="4" t="s">
        <v>189</v>
      </c>
    </row>
    <row r="38" spans="1:13" outlineLevel="2" x14ac:dyDescent="0.25">
      <c r="A38" s="4" t="s">
        <v>241</v>
      </c>
      <c r="B38" s="4"/>
      <c r="C38" s="5">
        <v>1190.92</v>
      </c>
      <c r="D38" s="6"/>
      <c r="E38" s="4" t="s">
        <v>189</v>
      </c>
      <c r="F38" s="4" t="s">
        <v>189</v>
      </c>
      <c r="H38" t="s">
        <v>272</v>
      </c>
      <c r="I38" t="s">
        <v>273</v>
      </c>
      <c r="J38" s="2">
        <v>2400</v>
      </c>
      <c r="K38" s="3">
        <v>45565</v>
      </c>
      <c r="L38" t="s">
        <v>201</v>
      </c>
      <c r="M38" t="s">
        <v>274</v>
      </c>
    </row>
    <row r="39" spans="1:13" outlineLevel="1" x14ac:dyDescent="0.25">
      <c r="A39" t="s">
        <v>250</v>
      </c>
      <c r="B39" t="s">
        <v>251</v>
      </c>
      <c r="C39" s="2">
        <v>3092.63</v>
      </c>
      <c r="D39" s="3">
        <v>45900</v>
      </c>
      <c r="E39" t="s">
        <v>203</v>
      </c>
      <c r="F39" t="s">
        <v>275</v>
      </c>
      <c r="H39" t="s">
        <v>272</v>
      </c>
      <c r="I39" t="s">
        <v>273</v>
      </c>
      <c r="J39" s="2">
        <v>30150</v>
      </c>
      <c r="K39" s="3">
        <v>45596</v>
      </c>
      <c r="L39" t="s">
        <v>229</v>
      </c>
      <c r="M39" t="s">
        <v>274</v>
      </c>
    </row>
    <row r="40" spans="1:13" outlineLevel="2" x14ac:dyDescent="0.25">
      <c r="A40" t="s">
        <v>250</v>
      </c>
      <c r="B40" t="s">
        <v>251</v>
      </c>
      <c r="C40" s="2">
        <v>2236.7199999999998</v>
      </c>
      <c r="D40" s="3">
        <v>45688</v>
      </c>
      <c r="E40" t="s">
        <v>232</v>
      </c>
      <c r="F40" t="s">
        <v>276</v>
      </c>
      <c r="H40" t="s">
        <v>272</v>
      </c>
      <c r="I40" t="s">
        <v>273</v>
      </c>
      <c r="J40" s="2">
        <v>27900</v>
      </c>
      <c r="K40" s="3">
        <v>45626</v>
      </c>
      <c r="L40" t="s">
        <v>231</v>
      </c>
      <c r="M40" t="s">
        <v>274</v>
      </c>
    </row>
    <row r="41" spans="1:13" outlineLevel="2" x14ac:dyDescent="0.25">
      <c r="A41" t="s">
        <v>250</v>
      </c>
      <c r="B41" t="s">
        <v>251</v>
      </c>
      <c r="C41" s="2">
        <v>2368.12</v>
      </c>
      <c r="D41" s="3">
        <v>45716</v>
      </c>
      <c r="E41" t="s">
        <v>233</v>
      </c>
      <c r="F41" t="s">
        <v>277</v>
      </c>
      <c r="H41" t="s">
        <v>272</v>
      </c>
      <c r="I41" t="s">
        <v>273</v>
      </c>
      <c r="J41" s="2">
        <v>23700</v>
      </c>
      <c r="K41" s="3">
        <v>45657</v>
      </c>
      <c r="L41" t="s">
        <v>205</v>
      </c>
      <c r="M41" t="s">
        <v>274</v>
      </c>
    </row>
    <row r="42" spans="1:13" outlineLevel="2" x14ac:dyDescent="0.25">
      <c r="A42" t="s">
        <v>250</v>
      </c>
      <c r="B42" t="s">
        <v>251</v>
      </c>
      <c r="C42" s="2">
        <v>2368.12</v>
      </c>
      <c r="D42" s="3">
        <v>45747</v>
      </c>
      <c r="E42" t="s">
        <v>234</v>
      </c>
      <c r="F42" t="s">
        <v>278</v>
      </c>
      <c r="H42" s="4" t="s">
        <v>272</v>
      </c>
      <c r="I42" s="4"/>
      <c r="J42" s="5">
        <v>84150</v>
      </c>
      <c r="K42" s="6"/>
      <c r="L42" s="4" t="s">
        <v>189</v>
      </c>
      <c r="M42" s="4" t="s">
        <v>189</v>
      </c>
    </row>
    <row r="43" spans="1:13" outlineLevel="2" x14ac:dyDescent="0.25">
      <c r="A43" t="s">
        <v>250</v>
      </c>
      <c r="B43" t="s">
        <v>251</v>
      </c>
      <c r="C43" s="2">
        <v>2436.6799999999998</v>
      </c>
      <c r="D43" s="3">
        <v>45777</v>
      </c>
      <c r="E43" t="s">
        <v>199</v>
      </c>
      <c r="F43" t="s">
        <v>279</v>
      </c>
      <c r="H43" t="s">
        <v>280</v>
      </c>
      <c r="J43" s="2">
        <v>470</v>
      </c>
      <c r="K43" s="3">
        <v>45565</v>
      </c>
      <c r="L43" t="s">
        <v>201</v>
      </c>
      <c r="M43" t="s">
        <v>281</v>
      </c>
    </row>
    <row r="44" spans="1:13" outlineLevel="2" x14ac:dyDescent="0.25">
      <c r="A44" t="s">
        <v>250</v>
      </c>
      <c r="B44" t="s">
        <v>251</v>
      </c>
      <c r="C44" s="2">
        <v>3092.63</v>
      </c>
      <c r="D44" s="3">
        <v>45808</v>
      </c>
      <c r="E44" t="s">
        <v>238</v>
      </c>
      <c r="F44" t="s">
        <v>252</v>
      </c>
      <c r="H44" s="4" t="s">
        <v>280</v>
      </c>
      <c r="I44" s="4"/>
      <c r="J44" s="5">
        <v>470</v>
      </c>
      <c r="K44" s="6"/>
      <c r="L44" s="4" t="s">
        <v>189</v>
      </c>
      <c r="M44" s="4" t="s">
        <v>189</v>
      </c>
    </row>
    <row r="45" spans="1:13" outlineLevel="2" x14ac:dyDescent="0.25">
      <c r="A45" t="s">
        <v>250</v>
      </c>
      <c r="B45" t="s">
        <v>251</v>
      </c>
      <c r="C45" s="2">
        <v>3092.63</v>
      </c>
      <c r="D45" s="3">
        <v>45838</v>
      </c>
      <c r="E45" t="s">
        <v>218</v>
      </c>
      <c r="F45" t="s">
        <v>252</v>
      </c>
      <c r="H45" t="s">
        <v>282</v>
      </c>
      <c r="J45" s="2">
        <v>1295.55</v>
      </c>
      <c r="K45" s="3">
        <v>45565</v>
      </c>
      <c r="L45" t="s">
        <v>201</v>
      </c>
      <c r="M45" t="s">
        <v>283</v>
      </c>
    </row>
    <row r="46" spans="1:13" outlineLevel="2" x14ac:dyDescent="0.25">
      <c r="A46" t="s">
        <v>250</v>
      </c>
      <c r="B46" t="s">
        <v>251</v>
      </c>
      <c r="C46" s="2">
        <v>3092.63</v>
      </c>
      <c r="D46" s="3">
        <v>45869</v>
      </c>
      <c r="E46" t="s">
        <v>209</v>
      </c>
      <c r="F46" t="s">
        <v>284</v>
      </c>
      <c r="H46" s="4" t="s">
        <v>282</v>
      </c>
      <c r="I46" s="4"/>
      <c r="J46" s="5">
        <v>1295.55</v>
      </c>
      <c r="K46" s="6"/>
      <c r="L46" s="4" t="s">
        <v>189</v>
      </c>
      <c r="M46" s="4" t="s">
        <v>189</v>
      </c>
    </row>
    <row r="47" spans="1:13" outlineLevel="2" x14ac:dyDescent="0.25">
      <c r="A47" s="4" t="s">
        <v>250</v>
      </c>
      <c r="B47" s="4"/>
      <c r="C47" s="5">
        <v>21780.16</v>
      </c>
      <c r="D47" s="6"/>
      <c r="E47" s="4" t="s">
        <v>189</v>
      </c>
      <c r="F47" s="4" t="s">
        <v>189</v>
      </c>
      <c r="H47" t="s">
        <v>285</v>
      </c>
      <c r="J47" s="2">
        <v>300</v>
      </c>
      <c r="K47" s="3">
        <v>45548</v>
      </c>
      <c r="L47" t="s">
        <v>201</v>
      </c>
      <c r="M47" t="s">
        <v>286</v>
      </c>
    </row>
    <row r="48" spans="1:13" outlineLevel="1" x14ac:dyDescent="0.25">
      <c r="A48" t="s">
        <v>258</v>
      </c>
      <c r="B48" t="s">
        <v>259</v>
      </c>
      <c r="C48" s="2">
        <f>11040.92+732.12</f>
        <v>11773.04</v>
      </c>
      <c r="D48" s="3">
        <v>45688</v>
      </c>
      <c r="E48" t="s">
        <v>232</v>
      </c>
      <c r="F48" t="s">
        <v>260</v>
      </c>
      <c r="H48" t="s">
        <v>285</v>
      </c>
      <c r="J48" s="2">
        <v>600</v>
      </c>
      <c r="K48" s="3">
        <v>45657</v>
      </c>
      <c r="L48" t="s">
        <v>205</v>
      </c>
      <c r="M48" t="s">
        <v>287</v>
      </c>
    </row>
    <row r="49" spans="1:13" outlineLevel="2" x14ac:dyDescent="0.25">
      <c r="A49" t="s">
        <v>258</v>
      </c>
      <c r="B49" t="s">
        <v>259</v>
      </c>
      <c r="C49" s="2">
        <f>587.16+8587.74</f>
        <v>9174.9</v>
      </c>
      <c r="D49" s="3">
        <v>45716</v>
      </c>
      <c r="E49" t="s">
        <v>233</v>
      </c>
      <c r="F49" t="s">
        <v>260</v>
      </c>
      <c r="H49" s="4" t="s">
        <v>285</v>
      </c>
      <c r="I49" s="4"/>
      <c r="J49" s="5">
        <v>900</v>
      </c>
      <c r="K49" s="6"/>
      <c r="L49" s="4" t="s">
        <v>189</v>
      </c>
      <c r="M49" s="4" t="s">
        <v>189</v>
      </c>
    </row>
    <row r="50" spans="1:13" outlineLevel="2" x14ac:dyDescent="0.25">
      <c r="A50" t="s">
        <v>258</v>
      </c>
      <c r="B50" t="s">
        <v>259</v>
      </c>
      <c r="C50" s="2">
        <f>3835.32+10653.13</f>
        <v>14488.449999999999</v>
      </c>
      <c r="D50" s="3">
        <v>45747</v>
      </c>
      <c r="E50" t="s">
        <v>234</v>
      </c>
      <c r="F50" t="s">
        <v>260</v>
      </c>
      <c r="H50" t="s">
        <v>288</v>
      </c>
      <c r="I50" t="s">
        <v>289</v>
      </c>
      <c r="J50" s="2">
        <v>-0.2</v>
      </c>
      <c r="K50" s="3">
        <v>45636</v>
      </c>
      <c r="L50" t="s">
        <v>205</v>
      </c>
      <c r="M50" t="s">
        <v>290</v>
      </c>
    </row>
    <row r="51" spans="1:13" outlineLevel="2" x14ac:dyDescent="0.25">
      <c r="A51" t="s">
        <v>258</v>
      </c>
      <c r="B51" t="s">
        <v>259</v>
      </c>
      <c r="C51" s="2">
        <f>3697.41+10409.84</f>
        <v>14107.25</v>
      </c>
      <c r="D51" s="3">
        <v>45777</v>
      </c>
      <c r="E51" t="s">
        <v>199</v>
      </c>
      <c r="F51" t="s">
        <v>260</v>
      </c>
      <c r="H51" t="s">
        <v>288</v>
      </c>
      <c r="I51" t="s">
        <v>289</v>
      </c>
      <c r="J51" s="2">
        <v>0.3</v>
      </c>
      <c r="K51" s="3">
        <v>45636</v>
      </c>
      <c r="L51" t="s">
        <v>205</v>
      </c>
      <c r="M51" t="s">
        <v>290</v>
      </c>
    </row>
    <row r="52" spans="1:13" outlineLevel="2" x14ac:dyDescent="0.25">
      <c r="A52" t="s">
        <v>258</v>
      </c>
      <c r="B52" t="s">
        <v>259</v>
      </c>
      <c r="C52" s="2">
        <f>1077.92+9725.35</f>
        <v>10803.27</v>
      </c>
      <c r="D52" s="3">
        <v>45808</v>
      </c>
      <c r="E52" t="s">
        <v>238</v>
      </c>
      <c r="F52" t="s">
        <v>260</v>
      </c>
      <c r="H52" t="s">
        <v>288</v>
      </c>
      <c r="I52" t="s">
        <v>289</v>
      </c>
      <c r="J52" s="2">
        <v>-0.63</v>
      </c>
      <c r="K52" s="3">
        <v>45544</v>
      </c>
      <c r="L52" t="s">
        <v>201</v>
      </c>
      <c r="M52" t="s">
        <v>290</v>
      </c>
    </row>
    <row r="53" spans="1:13" outlineLevel="2" x14ac:dyDescent="0.25">
      <c r="A53" t="s">
        <v>258</v>
      </c>
      <c r="B53" t="s">
        <v>259</v>
      </c>
      <c r="C53" s="2">
        <f>557.69+9495.09</f>
        <v>10052.780000000001</v>
      </c>
      <c r="D53" s="3">
        <v>45838</v>
      </c>
      <c r="E53" t="s">
        <v>218</v>
      </c>
      <c r="F53" t="s">
        <v>260</v>
      </c>
      <c r="H53" s="4" t="s">
        <v>288</v>
      </c>
      <c r="I53" s="4" t="s">
        <v>289</v>
      </c>
      <c r="J53" s="5">
        <v>-0.53</v>
      </c>
      <c r="K53" s="6"/>
      <c r="L53" s="4" t="s">
        <v>189</v>
      </c>
      <c r="M53" s="4" t="s">
        <v>189</v>
      </c>
    </row>
    <row r="54" spans="1:13" outlineLevel="2" x14ac:dyDescent="0.25">
      <c r="A54" t="s">
        <v>258</v>
      </c>
      <c r="B54" t="s">
        <v>259</v>
      </c>
      <c r="C54" s="2">
        <v>5117.82</v>
      </c>
      <c r="D54" s="3">
        <v>45869</v>
      </c>
      <c r="E54" t="s">
        <v>209</v>
      </c>
      <c r="F54" t="s">
        <v>260</v>
      </c>
      <c r="H54" t="s">
        <v>291</v>
      </c>
      <c r="I54" t="s">
        <v>292</v>
      </c>
      <c r="J54" s="2">
        <v>14.99</v>
      </c>
      <c r="K54" s="3">
        <v>45560</v>
      </c>
      <c r="L54" t="s">
        <v>201</v>
      </c>
      <c r="M54" t="s">
        <v>293</v>
      </c>
    </row>
    <row r="55" spans="1:13" outlineLevel="2" x14ac:dyDescent="0.25">
      <c r="A55" t="s">
        <v>258</v>
      </c>
      <c r="B55" t="s">
        <v>259</v>
      </c>
      <c r="C55" s="2">
        <f>5778.53+4675.07-847.08</f>
        <v>9606.5199999999986</v>
      </c>
      <c r="D55" s="3">
        <v>45900</v>
      </c>
      <c r="E55" t="s">
        <v>203</v>
      </c>
      <c r="F55" t="s">
        <v>260</v>
      </c>
      <c r="H55" t="s">
        <v>291</v>
      </c>
      <c r="I55" t="s">
        <v>292</v>
      </c>
      <c r="J55" s="2">
        <v>20.79</v>
      </c>
      <c r="K55" s="3">
        <v>45554</v>
      </c>
      <c r="L55" t="s">
        <v>201</v>
      </c>
      <c r="M55" t="s">
        <v>293</v>
      </c>
    </row>
    <row r="56" spans="1:13" outlineLevel="2" x14ac:dyDescent="0.25">
      <c r="A56" s="4" t="s">
        <v>258</v>
      </c>
      <c r="B56" s="4"/>
      <c r="C56" s="5">
        <f>SUM(C48:C55)</f>
        <v>85124.030000000013</v>
      </c>
      <c r="D56" s="6"/>
      <c r="E56" s="4" t="s">
        <v>189</v>
      </c>
      <c r="F56" s="4" t="s">
        <v>189</v>
      </c>
      <c r="H56" t="s">
        <v>291</v>
      </c>
      <c r="I56" t="s">
        <v>292</v>
      </c>
      <c r="J56" s="2">
        <v>93.42</v>
      </c>
      <c r="K56" s="3">
        <v>45555</v>
      </c>
      <c r="L56" t="s">
        <v>201</v>
      </c>
      <c r="M56" t="s">
        <v>293</v>
      </c>
    </row>
    <row r="57" spans="1:13" outlineLevel="1" x14ac:dyDescent="0.25">
      <c r="A57" t="s">
        <v>294</v>
      </c>
      <c r="B57" t="s">
        <v>295</v>
      </c>
      <c r="C57" s="2">
        <v>14925</v>
      </c>
      <c r="D57" s="3">
        <v>45769</v>
      </c>
      <c r="E57" t="s">
        <v>199</v>
      </c>
      <c r="F57" t="s">
        <v>296</v>
      </c>
      <c r="H57" t="s">
        <v>291</v>
      </c>
      <c r="I57" t="s">
        <v>292</v>
      </c>
      <c r="J57" s="2">
        <v>17.940000000000001</v>
      </c>
      <c r="K57" s="3">
        <v>45558</v>
      </c>
      <c r="L57" t="s">
        <v>201</v>
      </c>
      <c r="M57" t="s">
        <v>293</v>
      </c>
    </row>
    <row r="58" spans="1:13" outlineLevel="2" x14ac:dyDescent="0.25">
      <c r="A58" t="s">
        <v>294</v>
      </c>
      <c r="B58" t="s">
        <v>295</v>
      </c>
      <c r="C58" s="2">
        <v>15455</v>
      </c>
      <c r="D58" s="3">
        <v>45807</v>
      </c>
      <c r="E58" t="s">
        <v>238</v>
      </c>
      <c r="F58" t="s">
        <v>297</v>
      </c>
      <c r="H58" t="s">
        <v>291</v>
      </c>
      <c r="I58" t="s">
        <v>292</v>
      </c>
      <c r="J58" s="2">
        <v>3.65</v>
      </c>
      <c r="K58" s="3">
        <v>45559</v>
      </c>
      <c r="L58" t="s">
        <v>201</v>
      </c>
      <c r="M58" t="s">
        <v>293</v>
      </c>
    </row>
    <row r="59" spans="1:13" outlineLevel="2" x14ac:dyDescent="0.25">
      <c r="A59" t="s">
        <v>294</v>
      </c>
      <c r="B59" t="s">
        <v>295</v>
      </c>
      <c r="C59" s="2">
        <v>15073</v>
      </c>
      <c r="D59" s="3">
        <v>45845</v>
      </c>
      <c r="E59" t="s">
        <v>209</v>
      </c>
      <c r="F59" t="s">
        <v>298</v>
      </c>
      <c r="H59" t="s">
        <v>291</v>
      </c>
      <c r="I59" t="s">
        <v>292</v>
      </c>
      <c r="J59" s="2">
        <v>9.99</v>
      </c>
      <c r="K59" s="3">
        <v>45559</v>
      </c>
      <c r="L59" t="s">
        <v>201</v>
      </c>
      <c r="M59" t="s">
        <v>293</v>
      </c>
    </row>
    <row r="60" spans="1:13" outlineLevel="2" x14ac:dyDescent="0.25">
      <c r="A60" s="4" t="s">
        <v>294</v>
      </c>
      <c r="B60" s="4"/>
      <c r="C60" s="5">
        <v>45453</v>
      </c>
      <c r="D60" s="6"/>
      <c r="E60" s="4" t="s">
        <v>189</v>
      </c>
      <c r="F60" s="4" t="s">
        <v>189</v>
      </c>
      <c r="H60" t="s">
        <v>291</v>
      </c>
      <c r="I60" t="s">
        <v>292</v>
      </c>
      <c r="J60" s="2">
        <v>21.94</v>
      </c>
      <c r="K60" s="3">
        <v>45588</v>
      </c>
      <c r="L60" t="s">
        <v>229</v>
      </c>
      <c r="M60" t="s">
        <v>293</v>
      </c>
    </row>
    <row r="61" spans="1:13" outlineLevel="1" x14ac:dyDescent="0.25">
      <c r="A61" t="s">
        <v>299</v>
      </c>
      <c r="B61" t="s">
        <v>300</v>
      </c>
      <c r="C61" s="2">
        <v>7000</v>
      </c>
      <c r="D61" s="3">
        <v>45779</v>
      </c>
      <c r="E61" t="s">
        <v>238</v>
      </c>
      <c r="F61" t="s">
        <v>301</v>
      </c>
      <c r="H61" t="s">
        <v>291</v>
      </c>
      <c r="I61" t="s">
        <v>292</v>
      </c>
      <c r="J61" s="2">
        <v>14.63</v>
      </c>
      <c r="K61" s="3">
        <v>45600</v>
      </c>
      <c r="L61" t="s">
        <v>231</v>
      </c>
      <c r="M61" t="s">
        <v>293</v>
      </c>
    </row>
    <row r="62" spans="1:13" outlineLevel="2" x14ac:dyDescent="0.25">
      <c r="A62" t="s">
        <v>299</v>
      </c>
      <c r="B62" t="s">
        <v>300</v>
      </c>
      <c r="C62" s="2">
        <v>17200</v>
      </c>
      <c r="D62" s="3">
        <v>45838</v>
      </c>
      <c r="E62" t="s">
        <v>218</v>
      </c>
      <c r="F62" t="s">
        <v>302</v>
      </c>
      <c r="H62" t="s">
        <v>291</v>
      </c>
      <c r="I62" t="s">
        <v>292</v>
      </c>
      <c r="J62" s="2">
        <v>85.14</v>
      </c>
      <c r="K62" s="3">
        <v>45609</v>
      </c>
      <c r="L62" t="s">
        <v>231</v>
      </c>
      <c r="M62" t="s">
        <v>293</v>
      </c>
    </row>
    <row r="63" spans="1:13" outlineLevel="2" x14ac:dyDescent="0.25">
      <c r="A63" t="s">
        <v>299</v>
      </c>
      <c r="B63" t="s">
        <v>300</v>
      </c>
      <c r="C63" s="2">
        <v>1500</v>
      </c>
      <c r="D63" s="3">
        <v>45869</v>
      </c>
      <c r="E63" t="s">
        <v>209</v>
      </c>
      <c r="F63" t="s">
        <v>303</v>
      </c>
      <c r="H63" t="s">
        <v>291</v>
      </c>
      <c r="I63" t="s">
        <v>292</v>
      </c>
      <c r="J63" s="2">
        <v>48.61</v>
      </c>
      <c r="K63" s="3">
        <v>45608</v>
      </c>
      <c r="L63" t="s">
        <v>231</v>
      </c>
      <c r="M63" t="s">
        <v>293</v>
      </c>
    </row>
    <row r="64" spans="1:13" outlineLevel="2" x14ac:dyDescent="0.25">
      <c r="A64" s="4" t="s">
        <v>299</v>
      </c>
      <c r="B64" s="4"/>
      <c r="C64" s="5">
        <v>25700</v>
      </c>
      <c r="D64" s="6"/>
      <c r="E64" s="4" t="s">
        <v>189</v>
      </c>
      <c r="F64" s="4" t="s">
        <v>189</v>
      </c>
      <c r="H64" t="s">
        <v>291</v>
      </c>
      <c r="I64" t="s">
        <v>292</v>
      </c>
      <c r="J64" s="2">
        <v>32.4</v>
      </c>
      <c r="K64" s="3">
        <v>45629</v>
      </c>
      <c r="L64" t="s">
        <v>205</v>
      </c>
      <c r="M64" t="s">
        <v>293</v>
      </c>
    </row>
    <row r="65" spans="1:13" outlineLevel="1" x14ac:dyDescent="0.25">
      <c r="A65" t="s">
        <v>266</v>
      </c>
      <c r="B65" t="s">
        <v>267</v>
      </c>
      <c r="C65" s="2">
        <v>2000</v>
      </c>
      <c r="D65" s="3">
        <v>45747</v>
      </c>
      <c r="E65" t="s">
        <v>234</v>
      </c>
      <c r="F65" t="s">
        <v>268</v>
      </c>
      <c r="H65" t="s">
        <v>291</v>
      </c>
      <c r="I65" t="s">
        <v>292</v>
      </c>
      <c r="J65" s="2">
        <v>67.16</v>
      </c>
      <c r="K65" s="3">
        <v>45637</v>
      </c>
      <c r="L65" t="s">
        <v>205</v>
      </c>
      <c r="M65" t="s">
        <v>293</v>
      </c>
    </row>
    <row r="66" spans="1:13" outlineLevel="2" x14ac:dyDescent="0.25">
      <c r="A66" t="s">
        <v>266</v>
      </c>
      <c r="B66" t="s">
        <v>267</v>
      </c>
      <c r="C66" s="2">
        <v>27100</v>
      </c>
      <c r="D66" s="3">
        <v>45748</v>
      </c>
      <c r="E66" t="s">
        <v>199</v>
      </c>
      <c r="F66" t="s">
        <v>304</v>
      </c>
      <c r="H66" s="4" t="s">
        <v>291</v>
      </c>
      <c r="I66" s="4"/>
      <c r="J66" s="5">
        <v>430.66</v>
      </c>
      <c r="K66" s="6"/>
      <c r="L66" s="4" t="s">
        <v>189</v>
      </c>
      <c r="M66" s="4" t="s">
        <v>189</v>
      </c>
    </row>
    <row r="67" spans="1:13" outlineLevel="2" x14ac:dyDescent="0.25">
      <c r="A67" t="s">
        <v>266</v>
      </c>
      <c r="B67" t="s">
        <v>267</v>
      </c>
      <c r="C67" s="2">
        <v>34401</v>
      </c>
      <c r="D67" s="3">
        <v>45777</v>
      </c>
      <c r="E67" t="s">
        <v>199</v>
      </c>
      <c r="F67" t="s">
        <v>268</v>
      </c>
      <c r="H67" t="s">
        <v>305</v>
      </c>
      <c r="I67" t="s">
        <v>306</v>
      </c>
      <c r="J67" s="2">
        <v>32</v>
      </c>
      <c r="K67" s="3">
        <v>45579</v>
      </c>
      <c r="L67" t="s">
        <v>229</v>
      </c>
      <c r="M67" t="s">
        <v>307</v>
      </c>
    </row>
    <row r="68" spans="1:13" outlineLevel="2" x14ac:dyDescent="0.25">
      <c r="A68" t="s">
        <v>266</v>
      </c>
      <c r="B68" t="s">
        <v>267</v>
      </c>
      <c r="C68" s="2">
        <v>27620</v>
      </c>
      <c r="D68" s="3">
        <v>45808</v>
      </c>
      <c r="E68" t="s">
        <v>238</v>
      </c>
      <c r="F68" t="s">
        <v>268</v>
      </c>
      <c r="H68" s="4" t="s">
        <v>305</v>
      </c>
      <c r="I68" s="4"/>
      <c r="J68" s="5">
        <v>32</v>
      </c>
      <c r="K68" s="6"/>
      <c r="L68" s="4" t="s">
        <v>189</v>
      </c>
      <c r="M68" s="4" t="s">
        <v>189</v>
      </c>
    </row>
    <row r="69" spans="1:13" outlineLevel="2" x14ac:dyDescent="0.25">
      <c r="A69" t="s">
        <v>266</v>
      </c>
      <c r="B69" t="s">
        <v>267</v>
      </c>
      <c r="C69" s="2">
        <v>3714</v>
      </c>
      <c r="D69" s="3">
        <v>45808</v>
      </c>
      <c r="E69" t="s">
        <v>238</v>
      </c>
      <c r="F69" t="s">
        <v>308</v>
      </c>
      <c r="H69" t="s">
        <v>309</v>
      </c>
      <c r="I69" t="s">
        <v>310</v>
      </c>
      <c r="J69" s="2">
        <v>-5598.21</v>
      </c>
      <c r="K69" s="3">
        <v>45644</v>
      </c>
      <c r="L69" t="s">
        <v>205</v>
      </c>
      <c r="M69" s="76" t="s">
        <v>311</v>
      </c>
    </row>
    <row r="70" spans="1:13" outlineLevel="2" x14ac:dyDescent="0.25">
      <c r="A70" t="s">
        <v>266</v>
      </c>
      <c r="B70" t="s">
        <v>267</v>
      </c>
      <c r="C70" s="2">
        <v>38771</v>
      </c>
      <c r="D70" s="3">
        <v>45838</v>
      </c>
      <c r="E70" t="s">
        <v>218</v>
      </c>
      <c r="F70" t="s">
        <v>268</v>
      </c>
      <c r="H70" t="s">
        <v>309</v>
      </c>
      <c r="I70" t="s">
        <v>310</v>
      </c>
      <c r="J70" s="2">
        <v>-2479.34</v>
      </c>
      <c r="K70" s="3">
        <v>45644</v>
      </c>
      <c r="L70" t="s">
        <v>205</v>
      </c>
      <c r="M70" s="76" t="s">
        <v>311</v>
      </c>
    </row>
    <row r="71" spans="1:13" outlineLevel="2" x14ac:dyDescent="0.25">
      <c r="A71" t="s">
        <v>266</v>
      </c>
      <c r="B71" t="s">
        <v>267</v>
      </c>
      <c r="C71" s="2">
        <v>2320</v>
      </c>
      <c r="D71" s="3">
        <v>45838</v>
      </c>
      <c r="E71" t="s">
        <v>218</v>
      </c>
      <c r="F71" t="s">
        <v>308</v>
      </c>
      <c r="H71" t="s">
        <v>309</v>
      </c>
      <c r="I71" t="s">
        <v>310</v>
      </c>
      <c r="J71" s="2">
        <v>-9492.86</v>
      </c>
      <c r="K71" s="3">
        <v>45637</v>
      </c>
      <c r="L71" t="s">
        <v>205</v>
      </c>
      <c r="M71" s="76" t="s">
        <v>312</v>
      </c>
    </row>
    <row r="72" spans="1:13" outlineLevel="2" x14ac:dyDescent="0.25">
      <c r="A72" t="s">
        <v>266</v>
      </c>
      <c r="B72" t="s">
        <v>267</v>
      </c>
      <c r="C72" s="2">
        <v>30636</v>
      </c>
      <c r="D72" s="3">
        <v>45869</v>
      </c>
      <c r="E72" t="s">
        <v>209</v>
      </c>
      <c r="F72" t="s">
        <v>268</v>
      </c>
      <c r="H72" t="s">
        <v>309</v>
      </c>
      <c r="I72" t="s">
        <v>310</v>
      </c>
      <c r="J72" s="2">
        <v>-7016.53</v>
      </c>
      <c r="K72" s="3">
        <v>45637</v>
      </c>
      <c r="L72" t="s">
        <v>205</v>
      </c>
      <c r="M72" s="76" t="s">
        <v>312</v>
      </c>
    </row>
    <row r="73" spans="1:13" outlineLevel="2" x14ac:dyDescent="0.25">
      <c r="A73" t="s">
        <v>266</v>
      </c>
      <c r="B73" t="s">
        <v>267</v>
      </c>
      <c r="C73" s="2">
        <v>209</v>
      </c>
      <c r="D73" s="3">
        <v>45869</v>
      </c>
      <c r="E73" t="s">
        <v>209</v>
      </c>
      <c r="F73" t="s">
        <v>313</v>
      </c>
      <c r="H73" t="s">
        <v>309</v>
      </c>
      <c r="I73" t="s">
        <v>310</v>
      </c>
      <c r="J73" s="2">
        <v>-2975.21</v>
      </c>
      <c r="K73" s="3">
        <v>45553</v>
      </c>
      <c r="L73" t="s">
        <v>201</v>
      </c>
      <c r="M73" s="76" t="s">
        <v>314</v>
      </c>
    </row>
    <row r="74" spans="1:13" outlineLevel="2" x14ac:dyDescent="0.25">
      <c r="A74" t="s">
        <v>266</v>
      </c>
      <c r="B74" t="s">
        <v>267</v>
      </c>
      <c r="C74" s="2">
        <v>32926</v>
      </c>
      <c r="D74" s="3">
        <v>45900</v>
      </c>
      <c r="E74" t="s">
        <v>203</v>
      </c>
      <c r="F74" t="s">
        <v>268</v>
      </c>
      <c r="H74" t="s">
        <v>309</v>
      </c>
      <c r="I74" t="s">
        <v>310</v>
      </c>
      <c r="J74" s="2">
        <v>-1537.19</v>
      </c>
      <c r="K74" s="3">
        <v>45553</v>
      </c>
      <c r="L74" t="s">
        <v>201</v>
      </c>
      <c r="M74" s="76" t="s">
        <v>314</v>
      </c>
    </row>
    <row r="75" spans="1:13" outlineLevel="2" x14ac:dyDescent="0.25">
      <c r="A75" t="s">
        <v>266</v>
      </c>
      <c r="B75" t="s">
        <v>267</v>
      </c>
      <c r="C75" s="2">
        <v>871</v>
      </c>
      <c r="D75" s="3">
        <v>45900</v>
      </c>
      <c r="E75" t="s">
        <v>203</v>
      </c>
      <c r="F75" t="s">
        <v>315</v>
      </c>
      <c r="H75" s="4" t="s">
        <v>309</v>
      </c>
      <c r="I75" s="4"/>
      <c r="J75" s="5">
        <f>SUM(J69:J74)</f>
        <v>-29099.339999999997</v>
      </c>
      <c r="K75" s="6"/>
      <c r="L75" s="4" t="s">
        <v>189</v>
      </c>
      <c r="M75" s="4" t="s">
        <v>189</v>
      </c>
    </row>
    <row r="76" spans="1:13" outlineLevel="2" x14ac:dyDescent="0.25">
      <c r="A76" s="4" t="s">
        <v>266</v>
      </c>
      <c r="B76" s="4"/>
      <c r="C76" s="5">
        <v>200568</v>
      </c>
      <c r="D76" s="6"/>
      <c r="E76" s="4" t="s">
        <v>189</v>
      </c>
      <c r="F76" s="4" t="s">
        <v>189</v>
      </c>
      <c r="H76" t="s">
        <v>316</v>
      </c>
      <c r="I76" t="s">
        <v>317</v>
      </c>
      <c r="J76" s="91">
        <f>2247.93-22.28</f>
        <v>2225.6499999999996</v>
      </c>
      <c r="K76" s="3">
        <v>45552</v>
      </c>
      <c r="L76" t="s">
        <v>201</v>
      </c>
      <c r="M76" t="s">
        <v>318</v>
      </c>
    </row>
    <row r="77" spans="1:13" outlineLevel="2" x14ac:dyDescent="0.25">
      <c r="A77" t="s">
        <v>272</v>
      </c>
      <c r="B77" t="s">
        <v>273</v>
      </c>
      <c r="C77" s="2">
        <v>27000</v>
      </c>
      <c r="D77" s="3">
        <v>45688</v>
      </c>
      <c r="E77" t="s">
        <v>232</v>
      </c>
      <c r="F77" t="s">
        <v>274</v>
      </c>
      <c r="H77" t="s">
        <v>316</v>
      </c>
      <c r="I77" t="s">
        <v>317</v>
      </c>
      <c r="J77" s="91">
        <f>1776.67+1520</f>
        <v>3296.67</v>
      </c>
      <c r="K77" s="3">
        <v>45596</v>
      </c>
      <c r="L77" t="s">
        <v>229</v>
      </c>
      <c r="M77" t="s">
        <v>319</v>
      </c>
    </row>
    <row r="78" spans="1:13" outlineLevel="2" x14ac:dyDescent="0.25">
      <c r="A78" t="s">
        <v>272</v>
      </c>
      <c r="B78" t="s">
        <v>273</v>
      </c>
      <c r="C78" s="2">
        <v>23400</v>
      </c>
      <c r="D78" s="3">
        <v>45716</v>
      </c>
      <c r="E78" t="s">
        <v>233</v>
      </c>
      <c r="F78" t="s">
        <v>274</v>
      </c>
      <c r="H78" t="s">
        <v>316</v>
      </c>
      <c r="I78" t="s">
        <v>317</v>
      </c>
      <c r="J78" s="91">
        <v>357.16</v>
      </c>
      <c r="K78" s="3">
        <v>45596</v>
      </c>
      <c r="L78" t="s">
        <v>229</v>
      </c>
      <c r="M78" t="s">
        <v>320</v>
      </c>
    </row>
    <row r="79" spans="1:13" outlineLevel="2" x14ac:dyDescent="0.25">
      <c r="A79" t="s">
        <v>272</v>
      </c>
      <c r="B79" t="s">
        <v>273</v>
      </c>
      <c r="C79" s="2">
        <v>14250</v>
      </c>
      <c r="D79" s="3">
        <v>45747</v>
      </c>
      <c r="E79" t="s">
        <v>234</v>
      </c>
      <c r="F79" t="s">
        <v>274</v>
      </c>
      <c r="H79" t="s">
        <v>316</v>
      </c>
      <c r="I79" t="s">
        <v>317</v>
      </c>
      <c r="J79" s="91">
        <f>540.23+1996</f>
        <v>2536.23</v>
      </c>
      <c r="K79" s="3">
        <v>45626</v>
      </c>
      <c r="L79" t="s">
        <v>231</v>
      </c>
      <c r="M79" t="s">
        <v>319</v>
      </c>
    </row>
    <row r="80" spans="1:13" outlineLevel="2" x14ac:dyDescent="0.25">
      <c r="A80" t="s">
        <v>272</v>
      </c>
      <c r="B80" t="s">
        <v>273</v>
      </c>
      <c r="C80" s="2">
        <v>5700</v>
      </c>
      <c r="D80" s="3">
        <v>45777</v>
      </c>
      <c r="E80" t="s">
        <v>199</v>
      </c>
      <c r="F80" t="s">
        <v>274</v>
      </c>
      <c r="H80" t="s">
        <v>316</v>
      </c>
      <c r="I80" t="s">
        <v>317</v>
      </c>
      <c r="J80" s="91">
        <f>178.58</f>
        <v>178.58</v>
      </c>
      <c r="K80" s="3">
        <v>45626</v>
      </c>
      <c r="L80" t="s">
        <v>231</v>
      </c>
      <c r="M80" t="s">
        <v>320</v>
      </c>
    </row>
    <row r="81" spans="1:16" outlineLevel="1" x14ac:dyDescent="0.25">
      <c r="A81" t="s">
        <v>272</v>
      </c>
      <c r="B81" t="s">
        <v>273</v>
      </c>
      <c r="C81" s="2">
        <v>1500</v>
      </c>
      <c r="D81" s="3">
        <v>45838</v>
      </c>
      <c r="E81" t="s">
        <v>218</v>
      </c>
      <c r="F81" t="s">
        <v>274</v>
      </c>
      <c r="H81" t="s">
        <v>316</v>
      </c>
      <c r="I81" t="s">
        <v>317</v>
      </c>
      <c r="J81" s="91">
        <f>477.73+2499.82</f>
        <v>2977.55</v>
      </c>
      <c r="K81" s="3">
        <v>45657</v>
      </c>
      <c r="L81" t="s">
        <v>205</v>
      </c>
      <c r="M81" t="s">
        <v>319</v>
      </c>
      <c r="N81" s="72"/>
    </row>
    <row r="82" spans="1:16" outlineLevel="2" x14ac:dyDescent="0.25">
      <c r="A82" t="s">
        <v>272</v>
      </c>
      <c r="B82" t="s">
        <v>273</v>
      </c>
      <c r="C82" s="2">
        <v>6000</v>
      </c>
      <c r="D82" s="3">
        <v>45869</v>
      </c>
      <c r="E82" t="s">
        <v>209</v>
      </c>
      <c r="F82" t="s">
        <v>274</v>
      </c>
      <c r="H82" s="4" t="s">
        <v>316</v>
      </c>
      <c r="I82" s="4"/>
      <c r="J82" s="92">
        <f>SUM(J76:J81)</f>
        <v>11571.84</v>
      </c>
      <c r="K82" s="6"/>
      <c r="L82" s="4" t="s">
        <v>189</v>
      </c>
      <c r="M82" s="4" t="s">
        <v>189</v>
      </c>
      <c r="N82" s="72"/>
    </row>
    <row r="83" spans="1:16" outlineLevel="2" x14ac:dyDescent="0.25">
      <c r="A83" t="s">
        <v>272</v>
      </c>
      <c r="B83" t="s">
        <v>273</v>
      </c>
      <c r="C83" s="2">
        <v>10950</v>
      </c>
      <c r="D83" s="3">
        <v>45900</v>
      </c>
      <c r="E83" t="s">
        <v>203</v>
      </c>
      <c r="F83" t="s">
        <v>274</v>
      </c>
      <c r="H83" t="s">
        <v>321</v>
      </c>
      <c r="I83" t="s">
        <v>322</v>
      </c>
      <c r="J83" s="91">
        <v>227.69</v>
      </c>
      <c r="K83" s="3">
        <v>45565</v>
      </c>
      <c r="L83" t="s">
        <v>201</v>
      </c>
      <c r="M83" t="s">
        <v>323</v>
      </c>
    </row>
    <row r="84" spans="1:16" outlineLevel="2" x14ac:dyDescent="0.25">
      <c r="A84" s="4" t="s">
        <v>272</v>
      </c>
      <c r="B84" s="4"/>
      <c r="C84" s="5">
        <v>88800</v>
      </c>
      <c r="D84" s="6"/>
      <c r="E84" s="4" t="s">
        <v>189</v>
      </c>
      <c r="F84" s="4" t="s">
        <v>189</v>
      </c>
      <c r="H84" t="s">
        <v>321</v>
      </c>
      <c r="I84" t="s">
        <v>322</v>
      </c>
      <c r="J84" s="91">
        <f>28396.51-0.27</f>
        <v>28396.239999999998</v>
      </c>
      <c r="K84" s="3">
        <v>45565</v>
      </c>
      <c r="L84" t="s">
        <v>201</v>
      </c>
      <c r="M84" t="s">
        <v>323</v>
      </c>
      <c r="P84" s="72"/>
    </row>
    <row r="85" spans="1:16" outlineLevel="2" x14ac:dyDescent="0.25">
      <c r="A85" t="s">
        <v>280</v>
      </c>
      <c r="B85" t="s">
        <v>324</v>
      </c>
      <c r="C85" s="2">
        <v>180</v>
      </c>
      <c r="D85" s="3">
        <v>45747</v>
      </c>
      <c r="E85" t="s">
        <v>234</v>
      </c>
      <c r="F85" t="s">
        <v>281</v>
      </c>
      <c r="H85" t="s">
        <v>321</v>
      </c>
      <c r="I85" t="s">
        <v>322</v>
      </c>
      <c r="J85" s="91">
        <v>2518.77</v>
      </c>
      <c r="K85" s="3">
        <v>45596</v>
      </c>
      <c r="L85" t="s">
        <v>229</v>
      </c>
      <c r="M85" t="s">
        <v>323</v>
      </c>
      <c r="P85" s="72"/>
    </row>
    <row r="86" spans="1:16" outlineLevel="2" x14ac:dyDescent="0.25">
      <c r="A86" t="s">
        <v>280</v>
      </c>
      <c r="B86" t="s">
        <v>324</v>
      </c>
      <c r="C86" s="2">
        <v>2439</v>
      </c>
      <c r="D86" s="3">
        <v>45748</v>
      </c>
      <c r="E86" t="s">
        <v>199</v>
      </c>
      <c r="F86" t="s">
        <v>304</v>
      </c>
      <c r="H86" t="s">
        <v>321</v>
      </c>
      <c r="I86" t="s">
        <v>322</v>
      </c>
      <c r="J86" s="91">
        <f>61423.57-1520+22.55</f>
        <v>59926.12</v>
      </c>
      <c r="K86" s="3">
        <v>45596</v>
      </c>
      <c r="L86" t="s">
        <v>229</v>
      </c>
      <c r="M86" t="s">
        <v>323</v>
      </c>
      <c r="P86" s="72"/>
    </row>
    <row r="87" spans="1:16" outlineLevel="2" x14ac:dyDescent="0.25">
      <c r="A87" t="s">
        <v>280</v>
      </c>
      <c r="B87" t="s">
        <v>324</v>
      </c>
      <c r="C87" s="2">
        <v>3096</v>
      </c>
      <c r="D87" s="3">
        <v>45777</v>
      </c>
      <c r="E87" t="s">
        <v>199</v>
      </c>
      <c r="F87" t="s">
        <v>281</v>
      </c>
      <c r="H87" t="s">
        <v>321</v>
      </c>
      <c r="I87" t="s">
        <v>322</v>
      </c>
      <c r="J87" s="91">
        <v>2101.77</v>
      </c>
      <c r="K87" s="3">
        <v>45626</v>
      </c>
      <c r="L87" t="s">
        <v>231</v>
      </c>
      <c r="M87" t="s">
        <v>323</v>
      </c>
    </row>
    <row r="88" spans="1:16" outlineLevel="2" x14ac:dyDescent="0.25">
      <c r="A88" t="s">
        <v>280</v>
      </c>
      <c r="B88" t="s">
        <v>324</v>
      </c>
      <c r="C88" s="2">
        <v>2485.75</v>
      </c>
      <c r="D88" s="3">
        <v>45808</v>
      </c>
      <c r="E88" t="s">
        <v>238</v>
      </c>
      <c r="F88" t="s">
        <v>281</v>
      </c>
      <c r="H88" t="s">
        <v>321</v>
      </c>
      <c r="I88" t="s">
        <v>322</v>
      </c>
      <c r="J88" s="91">
        <f>75713.61-1996</f>
        <v>73717.61</v>
      </c>
      <c r="K88" s="3">
        <v>45626</v>
      </c>
      <c r="L88" t="s">
        <v>231</v>
      </c>
      <c r="M88" t="s">
        <v>323</v>
      </c>
    </row>
    <row r="89" spans="1:16" outlineLevel="1" x14ac:dyDescent="0.25">
      <c r="A89" t="s">
        <v>280</v>
      </c>
      <c r="B89" t="s">
        <v>324</v>
      </c>
      <c r="C89" s="2">
        <v>334.25</v>
      </c>
      <c r="D89" s="3">
        <v>45808</v>
      </c>
      <c r="E89" t="s">
        <v>238</v>
      </c>
      <c r="F89" t="s">
        <v>304</v>
      </c>
      <c r="H89" t="s">
        <v>321</v>
      </c>
      <c r="I89" t="s">
        <v>322</v>
      </c>
      <c r="J89" s="91">
        <v>991.97</v>
      </c>
      <c r="K89" s="3">
        <v>45657</v>
      </c>
      <c r="L89" t="s">
        <v>205</v>
      </c>
      <c r="M89" t="s">
        <v>323</v>
      </c>
    </row>
    <row r="90" spans="1:16" outlineLevel="2" x14ac:dyDescent="0.25">
      <c r="A90" t="s">
        <v>280</v>
      </c>
      <c r="B90" t="s">
        <v>324</v>
      </c>
      <c r="C90" s="2">
        <v>3489.21</v>
      </c>
      <c r="D90" s="3">
        <v>45838</v>
      </c>
      <c r="E90" t="s">
        <v>218</v>
      </c>
      <c r="F90" t="s">
        <v>281</v>
      </c>
      <c r="H90" t="s">
        <v>321</v>
      </c>
      <c r="I90" t="s">
        <v>322</v>
      </c>
      <c r="J90" s="91">
        <f>74247-2499.82</f>
        <v>71747.179999999993</v>
      </c>
      <c r="K90" s="3">
        <v>45657</v>
      </c>
      <c r="L90" t="s">
        <v>205</v>
      </c>
      <c r="M90" t="s">
        <v>323</v>
      </c>
    </row>
    <row r="91" spans="1:16" outlineLevel="2" x14ac:dyDescent="0.25">
      <c r="A91" t="s">
        <v>280</v>
      </c>
      <c r="B91" t="s">
        <v>324</v>
      </c>
      <c r="C91" s="2">
        <v>208.79</v>
      </c>
      <c r="D91" s="3">
        <v>45838</v>
      </c>
      <c r="E91" t="s">
        <v>218</v>
      </c>
      <c r="F91" t="s">
        <v>304</v>
      </c>
      <c r="H91" s="4" t="s">
        <v>321</v>
      </c>
      <c r="I91" s="4"/>
      <c r="J91" s="92">
        <f>SUM(J83:J90)</f>
        <v>239627.35</v>
      </c>
      <c r="K91" s="6"/>
      <c r="L91" s="4" t="s">
        <v>189</v>
      </c>
      <c r="M91" s="4" t="s">
        <v>189</v>
      </c>
    </row>
    <row r="92" spans="1:16" outlineLevel="2" x14ac:dyDescent="0.25">
      <c r="A92" t="s">
        <v>280</v>
      </c>
      <c r="B92" t="s">
        <v>324</v>
      </c>
      <c r="C92" s="2">
        <v>2757.19</v>
      </c>
      <c r="D92" s="3">
        <v>45869</v>
      </c>
      <c r="E92" t="s">
        <v>209</v>
      </c>
      <c r="F92" t="s">
        <v>281</v>
      </c>
      <c r="H92" s="7" t="s">
        <v>189</v>
      </c>
      <c r="I92" s="7"/>
      <c r="J92" s="8"/>
      <c r="K92" s="9"/>
      <c r="L92" s="7" t="s">
        <v>189</v>
      </c>
      <c r="M92" s="7" t="s">
        <v>189</v>
      </c>
    </row>
    <row r="93" spans="1:16" outlineLevel="2" x14ac:dyDescent="0.25">
      <c r="A93" t="s">
        <v>280</v>
      </c>
      <c r="B93" t="s">
        <v>324</v>
      </c>
      <c r="C93" s="2">
        <v>18.809999999999999</v>
      </c>
      <c r="D93" s="3">
        <v>45869</v>
      </c>
      <c r="E93" t="s">
        <v>209</v>
      </c>
      <c r="F93" t="s">
        <v>325</v>
      </c>
      <c r="J93" s="72"/>
    </row>
    <row r="94" spans="1:16" outlineLevel="2" x14ac:dyDescent="0.25">
      <c r="A94" t="s">
        <v>280</v>
      </c>
      <c r="B94" t="s">
        <v>324</v>
      </c>
      <c r="C94" s="2">
        <v>2963.61</v>
      </c>
      <c r="D94" s="3">
        <v>45900</v>
      </c>
      <c r="E94" t="s">
        <v>203</v>
      </c>
      <c r="F94" t="s">
        <v>281</v>
      </c>
      <c r="J94" s="72"/>
      <c r="N94" s="72"/>
    </row>
    <row r="95" spans="1:16" outlineLevel="2" x14ac:dyDescent="0.25">
      <c r="A95" t="s">
        <v>280</v>
      </c>
      <c r="B95" t="s">
        <v>324</v>
      </c>
      <c r="C95" s="2">
        <v>78.39</v>
      </c>
      <c r="D95" s="3">
        <v>45900</v>
      </c>
      <c r="E95" t="s">
        <v>203</v>
      </c>
      <c r="F95" t="s">
        <v>326</v>
      </c>
      <c r="J95" s="72"/>
    </row>
    <row r="96" spans="1:16" outlineLevel="2" x14ac:dyDescent="0.25">
      <c r="A96" s="4" t="s">
        <v>280</v>
      </c>
      <c r="B96" s="4"/>
      <c r="C96" s="5">
        <f>SUM(C85:C95)</f>
        <v>18051</v>
      </c>
      <c r="D96" s="6"/>
      <c r="E96" s="4" t="s">
        <v>189</v>
      </c>
      <c r="F96" s="4" t="s">
        <v>189</v>
      </c>
      <c r="J96" s="2"/>
      <c r="N96" s="72"/>
    </row>
    <row r="97" spans="1:16" outlineLevel="2" x14ac:dyDescent="0.25">
      <c r="A97" t="s">
        <v>282</v>
      </c>
      <c r="B97" t="s">
        <v>327</v>
      </c>
      <c r="C97" s="2">
        <v>496</v>
      </c>
      <c r="D97" s="3">
        <v>45747</v>
      </c>
      <c r="E97" t="s">
        <v>234</v>
      </c>
      <c r="F97" t="s">
        <v>283</v>
      </c>
      <c r="J97" s="2"/>
      <c r="P97" s="72"/>
    </row>
    <row r="98" spans="1:16" outlineLevel="2" x14ac:dyDescent="0.25">
      <c r="A98" t="s">
        <v>282</v>
      </c>
      <c r="B98" t="s">
        <v>327</v>
      </c>
      <c r="C98" s="2">
        <v>6720.8</v>
      </c>
      <c r="D98" s="3">
        <v>45748</v>
      </c>
      <c r="E98" t="s">
        <v>199</v>
      </c>
      <c r="F98" t="s">
        <v>304</v>
      </c>
      <c r="J98" s="2"/>
    </row>
    <row r="99" spans="1:16" outlineLevel="2" x14ac:dyDescent="0.25">
      <c r="A99" t="s">
        <v>282</v>
      </c>
      <c r="B99" t="s">
        <v>327</v>
      </c>
      <c r="C99" s="2">
        <v>8531.4500000000007</v>
      </c>
      <c r="D99" s="3">
        <v>45777</v>
      </c>
      <c r="E99" t="s">
        <v>199</v>
      </c>
      <c r="F99" t="s">
        <v>283</v>
      </c>
      <c r="J99" s="2"/>
    </row>
    <row r="100" spans="1:16" outlineLevel="2" x14ac:dyDescent="0.25">
      <c r="A100" t="s">
        <v>282</v>
      </c>
      <c r="B100" t="s">
        <v>327</v>
      </c>
      <c r="C100" s="2">
        <v>6849.76</v>
      </c>
      <c r="D100" s="3">
        <v>45808</v>
      </c>
      <c r="E100" t="s">
        <v>238</v>
      </c>
      <c r="F100" t="s">
        <v>283</v>
      </c>
      <c r="J100" s="2"/>
    </row>
    <row r="101" spans="1:16" outlineLevel="1" x14ac:dyDescent="0.25">
      <c r="A101" t="s">
        <v>282</v>
      </c>
      <c r="B101" t="s">
        <v>327</v>
      </c>
      <c r="C101" s="2">
        <v>921.07</v>
      </c>
      <c r="D101" s="3">
        <v>45808</v>
      </c>
      <c r="E101" t="s">
        <v>238</v>
      </c>
      <c r="F101" t="s">
        <v>304</v>
      </c>
    </row>
    <row r="102" spans="1:16" outlineLevel="2" x14ac:dyDescent="0.25">
      <c r="A102" t="s">
        <v>282</v>
      </c>
      <c r="B102" t="s">
        <v>327</v>
      </c>
      <c r="C102" s="2">
        <v>9615.2099999999991</v>
      </c>
      <c r="D102" s="3">
        <v>45838</v>
      </c>
      <c r="E102" t="s">
        <v>218</v>
      </c>
      <c r="F102" t="s">
        <v>283</v>
      </c>
      <c r="J102" s="2"/>
      <c r="K102" s="72"/>
    </row>
    <row r="103" spans="1:16" outlineLevel="2" x14ac:dyDescent="0.25">
      <c r="A103" t="s">
        <v>282</v>
      </c>
      <c r="B103" t="s">
        <v>327</v>
      </c>
      <c r="C103" s="2">
        <v>575.36</v>
      </c>
      <c r="D103" s="3">
        <v>45838</v>
      </c>
      <c r="E103" t="s">
        <v>218</v>
      </c>
      <c r="F103" t="s">
        <v>304</v>
      </c>
      <c r="J103" s="2"/>
    </row>
    <row r="104" spans="1:16" outlineLevel="2" x14ac:dyDescent="0.25">
      <c r="A104" t="s">
        <v>282</v>
      </c>
      <c r="B104" t="s">
        <v>327</v>
      </c>
      <c r="C104" s="2">
        <v>7597.73</v>
      </c>
      <c r="D104" s="3">
        <v>45869</v>
      </c>
      <c r="E104" t="s">
        <v>209</v>
      </c>
      <c r="F104" t="s">
        <v>283</v>
      </c>
      <c r="J104" s="2"/>
    </row>
    <row r="105" spans="1:16" outlineLevel="2" x14ac:dyDescent="0.25">
      <c r="A105" t="s">
        <v>282</v>
      </c>
      <c r="B105" t="s">
        <v>327</v>
      </c>
      <c r="C105" s="2">
        <v>51.83</v>
      </c>
      <c r="D105" s="3">
        <v>45869</v>
      </c>
      <c r="E105" t="s">
        <v>209</v>
      </c>
      <c r="F105" t="s">
        <v>328</v>
      </c>
      <c r="J105" s="2"/>
    </row>
    <row r="106" spans="1:16" outlineLevel="2" x14ac:dyDescent="0.25">
      <c r="A106" t="s">
        <v>282</v>
      </c>
      <c r="B106" t="s">
        <v>327</v>
      </c>
      <c r="C106" s="2">
        <v>8165.65</v>
      </c>
      <c r="D106" s="3">
        <v>45900</v>
      </c>
      <c r="E106" t="s">
        <v>203</v>
      </c>
      <c r="F106" t="s">
        <v>283</v>
      </c>
      <c r="J106" s="72"/>
      <c r="K106" s="72"/>
    </row>
    <row r="107" spans="1:16" outlineLevel="2" x14ac:dyDescent="0.25">
      <c r="A107" t="s">
        <v>282</v>
      </c>
      <c r="B107" t="s">
        <v>327</v>
      </c>
      <c r="C107" s="2">
        <v>216.01</v>
      </c>
      <c r="D107" s="3">
        <v>45900</v>
      </c>
      <c r="E107" t="s">
        <v>203</v>
      </c>
      <c r="F107" t="s">
        <v>329</v>
      </c>
    </row>
    <row r="108" spans="1:16" outlineLevel="2" x14ac:dyDescent="0.25">
      <c r="A108" s="4" t="s">
        <v>282</v>
      </c>
      <c r="B108" s="4"/>
      <c r="C108" s="5">
        <f>SUM(C97:C107)</f>
        <v>49740.87000000001</v>
      </c>
      <c r="D108" s="6"/>
      <c r="E108" s="4" t="s">
        <v>189</v>
      </c>
      <c r="F108" s="4" t="s">
        <v>189</v>
      </c>
    </row>
    <row r="109" spans="1:16" outlineLevel="2" x14ac:dyDescent="0.25">
      <c r="A109" t="s">
        <v>330</v>
      </c>
      <c r="B109" t="s">
        <v>331</v>
      </c>
      <c r="C109" s="2">
        <v>1155</v>
      </c>
      <c r="D109" s="3">
        <v>45762</v>
      </c>
      <c r="E109" t="s">
        <v>199</v>
      </c>
      <c r="F109" t="s">
        <v>332</v>
      </c>
    </row>
    <row r="110" spans="1:16" outlineLevel="2" x14ac:dyDescent="0.25">
      <c r="A110" t="s">
        <v>330</v>
      </c>
      <c r="B110" t="s">
        <v>331</v>
      </c>
      <c r="C110" s="2">
        <v>1100</v>
      </c>
      <c r="D110" s="3">
        <v>45792</v>
      </c>
      <c r="E110" t="s">
        <v>238</v>
      </c>
      <c r="F110" t="s">
        <v>332</v>
      </c>
    </row>
    <row r="111" spans="1:16" outlineLevel="2" x14ac:dyDescent="0.25">
      <c r="A111" t="s">
        <v>330</v>
      </c>
      <c r="B111" t="s">
        <v>331</v>
      </c>
      <c r="C111" s="2">
        <v>1045</v>
      </c>
      <c r="D111" s="3">
        <v>45820</v>
      </c>
      <c r="E111" t="s">
        <v>218</v>
      </c>
      <c r="F111" t="s">
        <v>332</v>
      </c>
    </row>
    <row r="112" spans="1:16" outlineLevel="2" x14ac:dyDescent="0.25">
      <c r="A112" t="s">
        <v>330</v>
      </c>
      <c r="B112" t="s">
        <v>331</v>
      </c>
      <c r="C112" s="2">
        <v>1155</v>
      </c>
      <c r="D112" s="3">
        <v>45853</v>
      </c>
      <c r="E112" t="s">
        <v>209</v>
      </c>
      <c r="F112" t="s">
        <v>332</v>
      </c>
    </row>
    <row r="113" spans="1:6" outlineLevel="1" x14ac:dyDescent="0.25">
      <c r="A113" t="s">
        <v>330</v>
      </c>
      <c r="B113" t="s">
        <v>331</v>
      </c>
      <c r="C113" s="2">
        <v>1155</v>
      </c>
      <c r="D113" s="3">
        <v>45883</v>
      </c>
      <c r="E113" t="s">
        <v>203</v>
      </c>
      <c r="F113" t="s">
        <v>332</v>
      </c>
    </row>
    <row r="114" spans="1:6" outlineLevel="2" x14ac:dyDescent="0.25">
      <c r="A114" s="4" t="s">
        <v>330</v>
      </c>
      <c r="B114" s="4"/>
      <c r="C114" s="5">
        <v>5610</v>
      </c>
      <c r="D114" s="6"/>
      <c r="E114" s="4" t="s">
        <v>189</v>
      </c>
      <c r="F114" s="4" t="s">
        <v>189</v>
      </c>
    </row>
    <row r="115" spans="1:6" outlineLevel="2" x14ac:dyDescent="0.25">
      <c r="A115" t="s">
        <v>333</v>
      </c>
      <c r="B115" t="s">
        <v>334</v>
      </c>
      <c r="C115" s="2">
        <v>200</v>
      </c>
      <c r="D115" s="3">
        <v>45747</v>
      </c>
      <c r="E115" t="s">
        <v>234</v>
      </c>
      <c r="F115" t="s">
        <v>335</v>
      </c>
    </row>
    <row r="116" spans="1:6" outlineLevel="2" x14ac:dyDescent="0.25">
      <c r="A116" t="s">
        <v>333</v>
      </c>
      <c r="B116" t="s">
        <v>334</v>
      </c>
      <c r="C116" s="2">
        <v>1000</v>
      </c>
      <c r="D116" s="3">
        <v>45838</v>
      </c>
      <c r="E116" t="s">
        <v>218</v>
      </c>
      <c r="F116" t="s">
        <v>335</v>
      </c>
    </row>
    <row r="117" spans="1:6" outlineLevel="2" x14ac:dyDescent="0.25">
      <c r="A117" s="4" t="s">
        <v>333</v>
      </c>
      <c r="B117" s="4"/>
      <c r="C117" s="5">
        <v>1200</v>
      </c>
      <c r="D117" s="6"/>
      <c r="E117" s="4" t="s">
        <v>189</v>
      </c>
      <c r="F117" s="4" t="s">
        <v>189</v>
      </c>
    </row>
    <row r="118" spans="1:6" outlineLevel="2" x14ac:dyDescent="0.25">
      <c r="A118" t="s">
        <v>288</v>
      </c>
      <c r="B118" t="s">
        <v>289</v>
      </c>
      <c r="C118" s="2">
        <v>0.35</v>
      </c>
      <c r="D118" s="3">
        <v>45826</v>
      </c>
      <c r="E118" t="s">
        <v>218</v>
      </c>
      <c r="F118" t="s">
        <v>336</v>
      </c>
    </row>
    <row r="119" spans="1:6" outlineLevel="1" x14ac:dyDescent="0.25">
      <c r="A119" t="s">
        <v>288</v>
      </c>
      <c r="B119" t="s">
        <v>289</v>
      </c>
      <c r="C119" s="2">
        <v>-0.4</v>
      </c>
      <c r="D119" s="3">
        <v>45855</v>
      </c>
      <c r="E119" t="s">
        <v>209</v>
      </c>
      <c r="F119" t="s">
        <v>336</v>
      </c>
    </row>
    <row r="120" spans="1:6" outlineLevel="2" x14ac:dyDescent="0.25">
      <c r="A120" t="s">
        <v>288</v>
      </c>
      <c r="B120" t="s">
        <v>289</v>
      </c>
      <c r="C120" s="2">
        <v>0.1</v>
      </c>
      <c r="D120" s="3">
        <v>45855</v>
      </c>
      <c r="E120" t="s">
        <v>209</v>
      </c>
      <c r="F120" t="s">
        <v>336</v>
      </c>
    </row>
    <row r="121" spans="1:6" outlineLevel="2" x14ac:dyDescent="0.25">
      <c r="A121" t="s">
        <v>288</v>
      </c>
      <c r="B121" t="s">
        <v>289</v>
      </c>
      <c r="C121" s="2">
        <v>-0.2</v>
      </c>
      <c r="D121" s="3">
        <v>45867</v>
      </c>
      <c r="E121" t="s">
        <v>209</v>
      </c>
      <c r="F121" t="s">
        <v>336</v>
      </c>
    </row>
    <row r="122" spans="1:6" outlineLevel="1" x14ac:dyDescent="0.25">
      <c r="A122" s="4" t="s">
        <v>288</v>
      </c>
      <c r="B122" s="4"/>
      <c r="C122" s="5">
        <v>-0.15</v>
      </c>
      <c r="D122" s="6"/>
      <c r="E122" s="4" t="s">
        <v>189</v>
      </c>
      <c r="F122" s="4" t="s">
        <v>189</v>
      </c>
    </row>
    <row r="123" spans="1:6" outlineLevel="2" x14ac:dyDescent="0.25">
      <c r="A123" t="s">
        <v>291</v>
      </c>
      <c r="B123" t="s">
        <v>292</v>
      </c>
      <c r="C123" s="2">
        <v>160.76</v>
      </c>
      <c r="D123" s="3">
        <v>45770</v>
      </c>
      <c r="E123" t="s">
        <v>199</v>
      </c>
      <c r="F123" t="s">
        <v>337</v>
      </c>
    </row>
    <row r="124" spans="1:6" outlineLevel="2" x14ac:dyDescent="0.25">
      <c r="A124" t="s">
        <v>291</v>
      </c>
      <c r="B124" t="s">
        <v>292</v>
      </c>
      <c r="C124" s="2">
        <v>2.7</v>
      </c>
      <c r="D124" s="3">
        <v>45687</v>
      </c>
      <c r="E124" t="s">
        <v>232</v>
      </c>
      <c r="F124" t="s">
        <v>338</v>
      </c>
    </row>
    <row r="125" spans="1:6" outlineLevel="2" x14ac:dyDescent="0.25">
      <c r="A125" t="s">
        <v>291</v>
      </c>
      <c r="B125" t="s">
        <v>292</v>
      </c>
      <c r="C125" s="2">
        <v>22.02</v>
      </c>
      <c r="D125" s="3">
        <v>45695</v>
      </c>
      <c r="E125" t="s">
        <v>233</v>
      </c>
      <c r="F125" t="s">
        <v>338</v>
      </c>
    </row>
    <row r="126" spans="1:6" outlineLevel="2" x14ac:dyDescent="0.25">
      <c r="A126" t="s">
        <v>291</v>
      </c>
      <c r="B126" t="s">
        <v>292</v>
      </c>
      <c r="C126" s="2">
        <v>31.12</v>
      </c>
      <c r="D126" s="3">
        <v>45698</v>
      </c>
      <c r="E126" t="s">
        <v>233</v>
      </c>
      <c r="F126" t="s">
        <v>338</v>
      </c>
    </row>
    <row r="127" spans="1:6" outlineLevel="1" x14ac:dyDescent="0.25">
      <c r="A127" t="s">
        <v>291</v>
      </c>
      <c r="B127" t="s">
        <v>292</v>
      </c>
      <c r="C127" s="2">
        <v>8.91</v>
      </c>
      <c r="D127" s="3">
        <v>45699</v>
      </c>
      <c r="E127" t="s">
        <v>233</v>
      </c>
      <c r="F127" t="s">
        <v>338</v>
      </c>
    </row>
    <row r="128" spans="1:6" outlineLevel="2" x14ac:dyDescent="0.25">
      <c r="A128" t="s">
        <v>291</v>
      </c>
      <c r="B128" t="s">
        <v>292</v>
      </c>
      <c r="C128" s="2">
        <v>6.89</v>
      </c>
      <c r="D128" s="3">
        <v>45700</v>
      </c>
      <c r="E128" t="s">
        <v>233</v>
      </c>
      <c r="F128" t="s">
        <v>338</v>
      </c>
    </row>
    <row r="129" spans="1:6" outlineLevel="2" x14ac:dyDescent="0.25">
      <c r="A129" t="s">
        <v>291</v>
      </c>
      <c r="B129" t="s">
        <v>292</v>
      </c>
      <c r="C129" s="2">
        <v>19.71</v>
      </c>
      <c r="D129" s="3">
        <v>45701</v>
      </c>
      <c r="E129" t="s">
        <v>233</v>
      </c>
      <c r="F129" t="s">
        <v>338</v>
      </c>
    </row>
    <row r="130" spans="1:6" outlineLevel="2" x14ac:dyDescent="0.25">
      <c r="A130" t="s">
        <v>291</v>
      </c>
      <c r="B130" t="s">
        <v>292</v>
      </c>
      <c r="C130" s="2">
        <v>16.739999999999998</v>
      </c>
      <c r="D130" s="3">
        <v>45729</v>
      </c>
      <c r="E130" t="s">
        <v>234</v>
      </c>
      <c r="F130" t="s">
        <v>293</v>
      </c>
    </row>
    <row r="131" spans="1:6" outlineLevel="2" x14ac:dyDescent="0.25">
      <c r="A131" t="s">
        <v>291</v>
      </c>
      <c r="B131" t="s">
        <v>292</v>
      </c>
      <c r="C131" s="2">
        <v>12.14</v>
      </c>
      <c r="D131" s="3">
        <v>45777</v>
      </c>
      <c r="E131" t="s">
        <v>199</v>
      </c>
      <c r="F131" t="s">
        <v>293</v>
      </c>
    </row>
    <row r="132" spans="1:6" outlineLevel="2" x14ac:dyDescent="0.25">
      <c r="A132" t="s">
        <v>291</v>
      </c>
      <c r="B132" t="s">
        <v>292</v>
      </c>
      <c r="C132" s="2">
        <v>6.08</v>
      </c>
      <c r="D132" s="3">
        <v>45771</v>
      </c>
      <c r="E132" t="s">
        <v>199</v>
      </c>
      <c r="F132" t="s">
        <v>337</v>
      </c>
    </row>
    <row r="133" spans="1:6" outlineLevel="2" x14ac:dyDescent="0.25">
      <c r="A133" t="s">
        <v>291</v>
      </c>
      <c r="B133" t="s">
        <v>292</v>
      </c>
      <c r="C133" s="2">
        <v>7.83</v>
      </c>
      <c r="D133" s="3">
        <v>45772</v>
      </c>
      <c r="E133" t="s">
        <v>199</v>
      </c>
      <c r="F133" t="s">
        <v>337</v>
      </c>
    </row>
    <row r="134" spans="1:6" outlineLevel="2" x14ac:dyDescent="0.25">
      <c r="A134" t="s">
        <v>291</v>
      </c>
      <c r="B134" t="s">
        <v>292</v>
      </c>
      <c r="C134" s="2">
        <v>36.18</v>
      </c>
      <c r="D134" s="3">
        <v>45775</v>
      </c>
      <c r="E134" t="s">
        <v>199</v>
      </c>
      <c r="F134" t="s">
        <v>337</v>
      </c>
    </row>
    <row r="135" spans="1:6" outlineLevel="2" x14ac:dyDescent="0.25">
      <c r="A135" t="s">
        <v>291</v>
      </c>
      <c r="B135" t="s">
        <v>292</v>
      </c>
      <c r="C135" s="2">
        <v>32.119999999999997</v>
      </c>
      <c r="D135" s="3">
        <v>45784</v>
      </c>
      <c r="E135" t="s">
        <v>238</v>
      </c>
      <c r="F135" t="s">
        <v>337</v>
      </c>
    </row>
    <row r="136" spans="1:6" outlineLevel="2" x14ac:dyDescent="0.25">
      <c r="A136" t="s">
        <v>291</v>
      </c>
      <c r="B136" t="s">
        <v>292</v>
      </c>
      <c r="C136" s="2">
        <v>40.65</v>
      </c>
      <c r="D136" s="3">
        <v>45782</v>
      </c>
      <c r="E136" t="s">
        <v>238</v>
      </c>
      <c r="F136" t="s">
        <v>337</v>
      </c>
    </row>
    <row r="137" spans="1:6" outlineLevel="2" x14ac:dyDescent="0.25">
      <c r="A137" t="s">
        <v>291</v>
      </c>
      <c r="B137" t="s">
        <v>292</v>
      </c>
      <c r="C137" s="2">
        <v>11.27</v>
      </c>
      <c r="D137" s="3">
        <v>45826</v>
      </c>
      <c r="E137" t="s">
        <v>218</v>
      </c>
      <c r="F137" t="s">
        <v>293</v>
      </c>
    </row>
    <row r="138" spans="1:6" outlineLevel="2" x14ac:dyDescent="0.25">
      <c r="A138" t="s">
        <v>291</v>
      </c>
      <c r="B138" t="s">
        <v>292</v>
      </c>
      <c r="C138" s="2">
        <v>49.14</v>
      </c>
      <c r="D138" s="3">
        <v>45834</v>
      </c>
      <c r="E138" t="s">
        <v>218</v>
      </c>
      <c r="F138" t="s">
        <v>293</v>
      </c>
    </row>
    <row r="139" spans="1:6" outlineLevel="2" x14ac:dyDescent="0.25">
      <c r="A139" t="s">
        <v>291</v>
      </c>
      <c r="B139" t="s">
        <v>292</v>
      </c>
      <c r="C139" s="2">
        <v>2.16</v>
      </c>
      <c r="D139" s="3">
        <v>45835</v>
      </c>
      <c r="E139" t="s">
        <v>218</v>
      </c>
      <c r="F139" t="s">
        <v>293</v>
      </c>
    </row>
    <row r="140" spans="1:6" outlineLevel="2" x14ac:dyDescent="0.25">
      <c r="A140" t="s">
        <v>291</v>
      </c>
      <c r="B140" t="s">
        <v>292</v>
      </c>
      <c r="C140" s="2">
        <v>7.83</v>
      </c>
      <c r="D140" s="3">
        <v>45852</v>
      </c>
      <c r="E140" t="s">
        <v>209</v>
      </c>
      <c r="F140" t="s">
        <v>293</v>
      </c>
    </row>
    <row r="141" spans="1:6" outlineLevel="2" x14ac:dyDescent="0.25">
      <c r="A141" t="s">
        <v>291</v>
      </c>
      <c r="B141" t="s">
        <v>292</v>
      </c>
      <c r="C141" s="2">
        <v>7.49</v>
      </c>
      <c r="D141" s="3">
        <v>45845</v>
      </c>
      <c r="E141" t="s">
        <v>209</v>
      </c>
      <c r="F141" t="s">
        <v>293</v>
      </c>
    </row>
    <row r="142" spans="1:6" outlineLevel="2" x14ac:dyDescent="0.25">
      <c r="A142" t="s">
        <v>291</v>
      </c>
      <c r="B142" t="s">
        <v>292</v>
      </c>
      <c r="C142" s="2">
        <v>11.48</v>
      </c>
      <c r="D142" s="3">
        <v>45849</v>
      </c>
      <c r="E142" t="s">
        <v>209</v>
      </c>
      <c r="F142" t="s">
        <v>293</v>
      </c>
    </row>
    <row r="143" spans="1:6" outlineLevel="2" x14ac:dyDescent="0.25">
      <c r="A143" t="s">
        <v>291</v>
      </c>
      <c r="B143" t="s">
        <v>292</v>
      </c>
      <c r="C143" s="2">
        <v>2.84</v>
      </c>
      <c r="D143" s="3">
        <v>45847</v>
      </c>
      <c r="E143" t="s">
        <v>209</v>
      </c>
      <c r="F143" t="s">
        <v>293</v>
      </c>
    </row>
    <row r="144" spans="1:6" outlineLevel="2" x14ac:dyDescent="0.25">
      <c r="A144" t="s">
        <v>291</v>
      </c>
      <c r="B144" t="s">
        <v>292</v>
      </c>
      <c r="C144" s="2">
        <v>14.04</v>
      </c>
      <c r="D144" s="3">
        <v>45838</v>
      </c>
      <c r="E144" t="s">
        <v>218</v>
      </c>
      <c r="F144" t="s">
        <v>293</v>
      </c>
    </row>
    <row r="145" spans="1:6" outlineLevel="2" x14ac:dyDescent="0.25">
      <c r="A145" t="s">
        <v>291</v>
      </c>
      <c r="B145" t="s">
        <v>292</v>
      </c>
      <c r="C145" s="2">
        <v>26.46</v>
      </c>
      <c r="D145" s="3">
        <v>45825</v>
      </c>
      <c r="E145" t="s">
        <v>218</v>
      </c>
      <c r="F145" t="s">
        <v>293</v>
      </c>
    </row>
    <row r="146" spans="1:6" outlineLevel="2" x14ac:dyDescent="0.25">
      <c r="A146" t="s">
        <v>291</v>
      </c>
      <c r="B146" t="s">
        <v>292</v>
      </c>
      <c r="C146" s="2">
        <v>16.809999999999999</v>
      </c>
      <c r="D146" s="3">
        <v>45866</v>
      </c>
      <c r="E146" t="s">
        <v>209</v>
      </c>
      <c r="F146" t="s">
        <v>293</v>
      </c>
    </row>
    <row r="147" spans="1:6" outlineLevel="2" x14ac:dyDescent="0.25">
      <c r="A147" t="s">
        <v>291</v>
      </c>
      <c r="B147" t="s">
        <v>292</v>
      </c>
      <c r="C147" s="2">
        <v>2.9</v>
      </c>
      <c r="D147" s="3">
        <v>45867</v>
      </c>
      <c r="E147" t="s">
        <v>209</v>
      </c>
      <c r="F147" t="s">
        <v>293</v>
      </c>
    </row>
    <row r="148" spans="1:6" outlineLevel="2" x14ac:dyDescent="0.25">
      <c r="A148" t="s">
        <v>291</v>
      </c>
      <c r="B148" t="s">
        <v>292</v>
      </c>
      <c r="C148" s="2">
        <v>8.0299999999999994</v>
      </c>
      <c r="D148" s="3">
        <v>45808</v>
      </c>
      <c r="E148" t="s">
        <v>238</v>
      </c>
      <c r="F148" t="s">
        <v>293</v>
      </c>
    </row>
    <row r="149" spans="1:6" outlineLevel="2" x14ac:dyDescent="0.25">
      <c r="A149" t="s">
        <v>291</v>
      </c>
      <c r="B149" t="s">
        <v>292</v>
      </c>
      <c r="C149" s="2">
        <v>-8.0299999999999994</v>
      </c>
      <c r="D149" s="3">
        <v>45808</v>
      </c>
      <c r="E149" t="s">
        <v>238</v>
      </c>
      <c r="F149" t="s">
        <v>293</v>
      </c>
    </row>
    <row r="150" spans="1:6" outlineLevel="2" x14ac:dyDescent="0.25">
      <c r="A150" t="s">
        <v>291</v>
      </c>
      <c r="B150" t="s">
        <v>292</v>
      </c>
      <c r="C150" s="2">
        <v>8.0299999999999994</v>
      </c>
      <c r="D150" s="3">
        <v>45808</v>
      </c>
      <c r="E150" t="s">
        <v>238</v>
      </c>
      <c r="F150" t="s">
        <v>293</v>
      </c>
    </row>
    <row r="151" spans="1:6" outlineLevel="2" x14ac:dyDescent="0.25">
      <c r="A151" t="s">
        <v>291</v>
      </c>
      <c r="B151" t="s">
        <v>292</v>
      </c>
      <c r="C151" s="2">
        <v>67.17</v>
      </c>
      <c r="D151" s="3">
        <v>45792</v>
      </c>
      <c r="E151" t="s">
        <v>238</v>
      </c>
      <c r="F151" t="s">
        <v>337</v>
      </c>
    </row>
    <row r="152" spans="1:6" outlineLevel="2" x14ac:dyDescent="0.25">
      <c r="A152" t="s">
        <v>291</v>
      </c>
      <c r="B152" t="s">
        <v>292</v>
      </c>
      <c r="C152" s="2">
        <v>18.09</v>
      </c>
      <c r="D152" s="3">
        <v>45776</v>
      </c>
      <c r="E152" t="s">
        <v>199</v>
      </c>
      <c r="F152" t="s">
        <v>337</v>
      </c>
    </row>
    <row r="153" spans="1:6" outlineLevel="2" x14ac:dyDescent="0.25">
      <c r="A153" t="s">
        <v>291</v>
      </c>
      <c r="B153" t="s">
        <v>292</v>
      </c>
      <c r="C153" s="2">
        <v>31.32</v>
      </c>
      <c r="D153" s="3">
        <v>45782</v>
      </c>
      <c r="E153" t="s">
        <v>238</v>
      </c>
      <c r="F153" t="s">
        <v>337</v>
      </c>
    </row>
    <row r="154" spans="1:6" outlineLevel="2" x14ac:dyDescent="0.25">
      <c r="A154" t="s">
        <v>291</v>
      </c>
      <c r="B154" t="s">
        <v>292</v>
      </c>
      <c r="C154" s="2">
        <v>25.11</v>
      </c>
      <c r="D154" s="3">
        <v>45791</v>
      </c>
      <c r="E154" t="s">
        <v>238</v>
      </c>
      <c r="F154" t="s">
        <v>337</v>
      </c>
    </row>
    <row r="155" spans="1:6" outlineLevel="2" x14ac:dyDescent="0.25">
      <c r="A155" t="s">
        <v>291</v>
      </c>
      <c r="B155" t="s">
        <v>292</v>
      </c>
      <c r="C155" s="2">
        <v>2.16</v>
      </c>
      <c r="D155" s="3">
        <v>45792</v>
      </c>
      <c r="E155" t="s">
        <v>238</v>
      </c>
      <c r="F155" t="s">
        <v>337</v>
      </c>
    </row>
    <row r="156" spans="1:6" outlineLevel="2" x14ac:dyDescent="0.25">
      <c r="A156" t="s">
        <v>291</v>
      </c>
      <c r="B156" t="s">
        <v>292</v>
      </c>
      <c r="C156" s="2">
        <v>40.909999999999997</v>
      </c>
      <c r="D156" s="3">
        <v>45793</v>
      </c>
      <c r="E156" t="s">
        <v>238</v>
      </c>
      <c r="F156" t="s">
        <v>337</v>
      </c>
    </row>
    <row r="157" spans="1:6" outlineLevel="2" x14ac:dyDescent="0.25">
      <c r="A157" t="s">
        <v>291</v>
      </c>
      <c r="B157" t="s">
        <v>292</v>
      </c>
      <c r="C157" s="2">
        <v>16.59</v>
      </c>
      <c r="D157" s="3">
        <v>45786</v>
      </c>
      <c r="E157" t="s">
        <v>238</v>
      </c>
      <c r="F157" t="s">
        <v>337</v>
      </c>
    </row>
    <row r="158" spans="1:6" outlineLevel="2" x14ac:dyDescent="0.25">
      <c r="A158" t="s">
        <v>291</v>
      </c>
      <c r="B158" t="s">
        <v>292</v>
      </c>
      <c r="C158" s="2">
        <v>7.49</v>
      </c>
      <c r="D158" s="3">
        <v>45799</v>
      </c>
      <c r="E158" t="s">
        <v>238</v>
      </c>
      <c r="F158" t="s">
        <v>337</v>
      </c>
    </row>
    <row r="159" spans="1:6" outlineLevel="2" x14ac:dyDescent="0.25">
      <c r="A159" t="s">
        <v>291</v>
      </c>
      <c r="B159" t="s">
        <v>292</v>
      </c>
      <c r="C159" s="2">
        <v>18.63</v>
      </c>
      <c r="D159" s="3">
        <v>45798</v>
      </c>
      <c r="E159" t="s">
        <v>238</v>
      </c>
      <c r="F159" t="s">
        <v>337</v>
      </c>
    </row>
    <row r="160" spans="1:6" outlineLevel="2" x14ac:dyDescent="0.25">
      <c r="A160" t="s">
        <v>291</v>
      </c>
      <c r="B160" t="s">
        <v>292</v>
      </c>
      <c r="C160" s="2">
        <v>38.61</v>
      </c>
      <c r="D160" s="3">
        <v>45810</v>
      </c>
      <c r="E160" t="s">
        <v>218</v>
      </c>
      <c r="F160" t="s">
        <v>337</v>
      </c>
    </row>
    <row r="161" spans="1:6" outlineLevel="2" x14ac:dyDescent="0.25">
      <c r="A161" t="s">
        <v>291</v>
      </c>
      <c r="B161" t="s">
        <v>292</v>
      </c>
      <c r="C161" s="2">
        <v>39.15</v>
      </c>
      <c r="D161" s="3">
        <v>45806</v>
      </c>
      <c r="E161" t="s">
        <v>238</v>
      </c>
      <c r="F161" t="s">
        <v>337</v>
      </c>
    </row>
    <row r="162" spans="1:6" outlineLevel="2" x14ac:dyDescent="0.25">
      <c r="A162" t="s">
        <v>291</v>
      </c>
      <c r="B162" t="s">
        <v>292</v>
      </c>
      <c r="C162" s="2">
        <v>38.64</v>
      </c>
      <c r="D162" s="3">
        <v>45805</v>
      </c>
      <c r="E162" t="s">
        <v>238</v>
      </c>
      <c r="F162" t="s">
        <v>337</v>
      </c>
    </row>
    <row r="163" spans="1:6" outlineLevel="2" x14ac:dyDescent="0.25">
      <c r="A163" t="s">
        <v>291</v>
      </c>
      <c r="B163" t="s">
        <v>292</v>
      </c>
      <c r="C163" s="2">
        <v>28.89</v>
      </c>
      <c r="D163" s="3">
        <v>45812</v>
      </c>
      <c r="E163" t="s">
        <v>218</v>
      </c>
      <c r="F163" t="s">
        <v>337</v>
      </c>
    </row>
    <row r="164" spans="1:6" outlineLevel="2" x14ac:dyDescent="0.25">
      <c r="A164" t="s">
        <v>291</v>
      </c>
      <c r="B164" t="s">
        <v>292</v>
      </c>
      <c r="C164" s="2">
        <v>26.6</v>
      </c>
      <c r="D164" s="3">
        <v>45813</v>
      </c>
      <c r="E164" t="s">
        <v>218</v>
      </c>
      <c r="F164" t="s">
        <v>337</v>
      </c>
    </row>
    <row r="165" spans="1:6" outlineLevel="2" x14ac:dyDescent="0.25">
      <c r="A165" t="s">
        <v>291</v>
      </c>
      <c r="B165" t="s">
        <v>292</v>
      </c>
      <c r="C165" s="2">
        <v>18.09</v>
      </c>
      <c r="D165" s="3">
        <v>45811</v>
      </c>
      <c r="E165" t="s">
        <v>218</v>
      </c>
      <c r="F165" t="s">
        <v>337</v>
      </c>
    </row>
    <row r="166" spans="1:6" outlineLevel="2" x14ac:dyDescent="0.25">
      <c r="A166" t="s">
        <v>291</v>
      </c>
      <c r="B166" t="s">
        <v>292</v>
      </c>
      <c r="C166" s="2">
        <v>20.72</v>
      </c>
      <c r="D166" s="3">
        <v>45804</v>
      </c>
      <c r="E166" t="s">
        <v>238</v>
      </c>
      <c r="F166" t="s">
        <v>337</v>
      </c>
    </row>
    <row r="167" spans="1:6" outlineLevel="2" x14ac:dyDescent="0.25">
      <c r="A167" t="s">
        <v>291</v>
      </c>
      <c r="B167" t="s">
        <v>292</v>
      </c>
      <c r="C167" s="2">
        <v>15.66</v>
      </c>
      <c r="D167" s="3">
        <v>45803</v>
      </c>
      <c r="E167" t="s">
        <v>238</v>
      </c>
      <c r="F167" t="s">
        <v>337</v>
      </c>
    </row>
    <row r="168" spans="1:6" outlineLevel="2" x14ac:dyDescent="0.25">
      <c r="A168" t="s">
        <v>291</v>
      </c>
      <c r="B168" t="s">
        <v>292</v>
      </c>
      <c r="C168" s="2">
        <v>8.0299999999999994</v>
      </c>
      <c r="D168" s="3">
        <v>45817</v>
      </c>
      <c r="E168" t="s">
        <v>218</v>
      </c>
      <c r="F168" t="s">
        <v>337</v>
      </c>
    </row>
    <row r="169" spans="1:6" outlineLevel="2" x14ac:dyDescent="0.25">
      <c r="A169" t="s">
        <v>291</v>
      </c>
      <c r="B169" t="s">
        <v>292</v>
      </c>
      <c r="C169" s="2">
        <v>15.26</v>
      </c>
      <c r="D169" s="3">
        <v>45814</v>
      </c>
      <c r="E169" t="s">
        <v>218</v>
      </c>
      <c r="F169" t="s">
        <v>337</v>
      </c>
    </row>
    <row r="170" spans="1:6" outlineLevel="2" x14ac:dyDescent="0.25">
      <c r="A170" t="s">
        <v>291</v>
      </c>
      <c r="B170" t="s">
        <v>292</v>
      </c>
      <c r="C170" s="2">
        <v>32.270000000000003</v>
      </c>
      <c r="D170" s="3">
        <v>45819</v>
      </c>
      <c r="E170" t="s">
        <v>218</v>
      </c>
      <c r="F170" t="s">
        <v>337</v>
      </c>
    </row>
    <row r="171" spans="1:6" outlineLevel="2" x14ac:dyDescent="0.25">
      <c r="A171" t="s">
        <v>291</v>
      </c>
      <c r="B171" t="s">
        <v>292</v>
      </c>
      <c r="C171" s="2">
        <v>1.62</v>
      </c>
      <c r="D171" s="3">
        <v>45818</v>
      </c>
      <c r="E171" t="s">
        <v>218</v>
      </c>
      <c r="F171" t="s">
        <v>337</v>
      </c>
    </row>
    <row r="172" spans="1:6" outlineLevel="2" x14ac:dyDescent="0.25">
      <c r="A172" t="s">
        <v>291</v>
      </c>
      <c r="B172" t="s">
        <v>292</v>
      </c>
      <c r="C172" s="2">
        <v>8.3699999999999992</v>
      </c>
      <c r="D172" s="3">
        <v>45820</v>
      </c>
      <c r="E172" t="s">
        <v>218</v>
      </c>
      <c r="F172" t="s">
        <v>337</v>
      </c>
    </row>
    <row r="173" spans="1:6" outlineLevel="2" x14ac:dyDescent="0.25">
      <c r="A173" t="s">
        <v>291</v>
      </c>
      <c r="B173" t="s">
        <v>292</v>
      </c>
      <c r="C173" s="2">
        <v>29.7</v>
      </c>
      <c r="D173" s="3">
        <v>45821</v>
      </c>
      <c r="E173" t="s">
        <v>218</v>
      </c>
      <c r="F173" t="s">
        <v>337</v>
      </c>
    </row>
    <row r="174" spans="1:6" outlineLevel="2" x14ac:dyDescent="0.25">
      <c r="A174" t="s">
        <v>291</v>
      </c>
      <c r="B174" t="s">
        <v>292</v>
      </c>
      <c r="C174" s="2">
        <v>33.950000000000003</v>
      </c>
      <c r="D174" s="3">
        <v>45824</v>
      </c>
      <c r="E174" t="s">
        <v>218</v>
      </c>
      <c r="F174" t="s">
        <v>337</v>
      </c>
    </row>
    <row r="175" spans="1:6" outlineLevel="2" x14ac:dyDescent="0.25">
      <c r="A175" t="s">
        <v>291</v>
      </c>
      <c r="B175" t="s">
        <v>292</v>
      </c>
      <c r="C175" s="2">
        <v>24.57</v>
      </c>
      <c r="D175" s="3">
        <v>45827</v>
      </c>
      <c r="E175" t="s">
        <v>218</v>
      </c>
      <c r="F175" t="s">
        <v>337</v>
      </c>
    </row>
    <row r="176" spans="1:6" outlineLevel="2" x14ac:dyDescent="0.25">
      <c r="A176" t="s">
        <v>291</v>
      </c>
      <c r="B176" t="s">
        <v>292</v>
      </c>
      <c r="C176" s="2">
        <v>12.96</v>
      </c>
      <c r="D176" s="3">
        <v>45831</v>
      </c>
      <c r="E176" t="s">
        <v>218</v>
      </c>
      <c r="F176" t="s">
        <v>337</v>
      </c>
    </row>
    <row r="177" spans="1:6" outlineLevel="2" x14ac:dyDescent="0.25">
      <c r="A177" t="s">
        <v>291</v>
      </c>
      <c r="B177" t="s">
        <v>292</v>
      </c>
      <c r="C177" s="2">
        <v>56.97</v>
      </c>
      <c r="D177" s="3">
        <v>45828</v>
      </c>
      <c r="E177" t="s">
        <v>218</v>
      </c>
      <c r="F177" t="s">
        <v>337</v>
      </c>
    </row>
    <row r="178" spans="1:6" outlineLevel="2" x14ac:dyDescent="0.25">
      <c r="A178" t="s">
        <v>291</v>
      </c>
      <c r="B178" t="s">
        <v>292</v>
      </c>
      <c r="C178" s="2">
        <v>7.29</v>
      </c>
      <c r="D178" s="3">
        <v>45832</v>
      </c>
      <c r="E178" t="s">
        <v>218</v>
      </c>
      <c r="F178" t="s">
        <v>337</v>
      </c>
    </row>
    <row r="179" spans="1:6" outlineLevel="2" x14ac:dyDescent="0.25">
      <c r="A179" t="s">
        <v>291</v>
      </c>
      <c r="B179" t="s">
        <v>292</v>
      </c>
      <c r="C179" s="2">
        <v>36.69</v>
      </c>
      <c r="D179" s="3">
        <v>45833</v>
      </c>
      <c r="E179" t="s">
        <v>218</v>
      </c>
      <c r="F179" t="s">
        <v>337</v>
      </c>
    </row>
    <row r="180" spans="1:6" outlineLevel="2" x14ac:dyDescent="0.25">
      <c r="A180" t="s">
        <v>291</v>
      </c>
      <c r="B180" t="s">
        <v>292</v>
      </c>
      <c r="C180" s="2">
        <v>22.34</v>
      </c>
      <c r="D180" s="3">
        <v>45840</v>
      </c>
      <c r="E180" t="s">
        <v>209</v>
      </c>
      <c r="F180" t="s">
        <v>337</v>
      </c>
    </row>
    <row r="181" spans="1:6" outlineLevel="2" x14ac:dyDescent="0.25">
      <c r="A181" t="s">
        <v>291</v>
      </c>
      <c r="B181" t="s">
        <v>292</v>
      </c>
      <c r="C181" s="2">
        <v>11.81</v>
      </c>
      <c r="D181" s="3">
        <v>45838</v>
      </c>
      <c r="E181" t="s">
        <v>218</v>
      </c>
      <c r="F181" t="s">
        <v>337</v>
      </c>
    </row>
    <row r="182" spans="1:6" outlineLevel="2" x14ac:dyDescent="0.25">
      <c r="A182" t="s">
        <v>291</v>
      </c>
      <c r="B182" t="s">
        <v>292</v>
      </c>
      <c r="C182" s="2">
        <v>22.25</v>
      </c>
      <c r="D182" s="3">
        <v>45839</v>
      </c>
      <c r="E182" t="s">
        <v>209</v>
      </c>
      <c r="F182" t="s">
        <v>337</v>
      </c>
    </row>
    <row r="183" spans="1:6" outlineLevel="2" x14ac:dyDescent="0.25">
      <c r="A183" t="s">
        <v>291</v>
      </c>
      <c r="B183" t="s">
        <v>292</v>
      </c>
      <c r="C183" s="2">
        <v>8.51</v>
      </c>
      <c r="D183" s="3">
        <v>45841</v>
      </c>
      <c r="E183" t="s">
        <v>209</v>
      </c>
      <c r="F183" t="s">
        <v>337</v>
      </c>
    </row>
    <row r="184" spans="1:6" outlineLevel="2" x14ac:dyDescent="0.25">
      <c r="A184" t="s">
        <v>291</v>
      </c>
      <c r="B184" t="s">
        <v>292</v>
      </c>
      <c r="C184" s="2">
        <v>7.7</v>
      </c>
      <c r="D184" s="3">
        <v>45842</v>
      </c>
      <c r="E184" t="s">
        <v>209</v>
      </c>
      <c r="F184" t="s">
        <v>337</v>
      </c>
    </row>
    <row r="185" spans="1:6" outlineLevel="2" x14ac:dyDescent="0.25">
      <c r="A185" t="s">
        <v>291</v>
      </c>
      <c r="B185" t="s">
        <v>292</v>
      </c>
      <c r="C185" s="2">
        <v>6.28</v>
      </c>
      <c r="D185" s="3">
        <v>45848</v>
      </c>
      <c r="E185" t="s">
        <v>209</v>
      </c>
      <c r="F185" t="s">
        <v>337</v>
      </c>
    </row>
    <row r="186" spans="1:6" outlineLevel="2" x14ac:dyDescent="0.25">
      <c r="A186" t="s">
        <v>291</v>
      </c>
      <c r="B186" t="s">
        <v>292</v>
      </c>
      <c r="C186" s="2">
        <v>2.0299999999999998</v>
      </c>
      <c r="D186" s="3">
        <v>45859</v>
      </c>
      <c r="E186" t="s">
        <v>209</v>
      </c>
      <c r="F186" t="s">
        <v>337</v>
      </c>
    </row>
    <row r="187" spans="1:6" outlineLevel="2" x14ac:dyDescent="0.25">
      <c r="A187" t="s">
        <v>291</v>
      </c>
      <c r="B187" t="s">
        <v>292</v>
      </c>
      <c r="C187" s="2">
        <v>1.35</v>
      </c>
      <c r="D187" s="3">
        <v>45856</v>
      </c>
      <c r="E187" t="s">
        <v>209</v>
      </c>
      <c r="F187" t="s">
        <v>337</v>
      </c>
    </row>
    <row r="188" spans="1:6" outlineLevel="2" x14ac:dyDescent="0.25">
      <c r="A188" t="s">
        <v>291</v>
      </c>
      <c r="B188" t="s">
        <v>292</v>
      </c>
      <c r="C188" s="2">
        <v>2.16</v>
      </c>
      <c r="D188" s="3">
        <v>45855</v>
      </c>
      <c r="E188" t="s">
        <v>209</v>
      </c>
      <c r="F188" t="s">
        <v>337</v>
      </c>
    </row>
    <row r="189" spans="1:6" outlineLevel="2" x14ac:dyDescent="0.25">
      <c r="A189" t="s">
        <v>291</v>
      </c>
      <c r="B189" t="s">
        <v>292</v>
      </c>
      <c r="C189" s="2">
        <v>3.24</v>
      </c>
      <c r="D189" s="3">
        <v>45860</v>
      </c>
      <c r="E189" t="s">
        <v>209</v>
      </c>
      <c r="F189" t="s">
        <v>337</v>
      </c>
    </row>
    <row r="190" spans="1:6" outlineLevel="2" x14ac:dyDescent="0.25">
      <c r="A190" t="s">
        <v>291</v>
      </c>
      <c r="B190" t="s">
        <v>292</v>
      </c>
      <c r="C190" s="2">
        <v>24.84</v>
      </c>
      <c r="D190" s="3">
        <v>45853</v>
      </c>
      <c r="E190" t="s">
        <v>209</v>
      </c>
      <c r="F190" t="s">
        <v>337</v>
      </c>
    </row>
    <row r="191" spans="1:6" outlineLevel="2" x14ac:dyDescent="0.25">
      <c r="A191" t="s">
        <v>291</v>
      </c>
      <c r="B191" t="s">
        <v>292</v>
      </c>
      <c r="C191" s="2">
        <v>31.05</v>
      </c>
      <c r="D191" s="3">
        <v>45861</v>
      </c>
      <c r="E191" t="s">
        <v>209</v>
      </c>
      <c r="F191" t="s">
        <v>337</v>
      </c>
    </row>
    <row r="192" spans="1:6" outlineLevel="2" x14ac:dyDescent="0.25">
      <c r="A192" t="s">
        <v>291</v>
      </c>
      <c r="B192" t="s">
        <v>292</v>
      </c>
      <c r="C192" s="2">
        <v>9.99</v>
      </c>
      <c r="D192" s="3">
        <v>45862</v>
      </c>
      <c r="E192" t="s">
        <v>209</v>
      </c>
      <c r="F192" t="s">
        <v>337</v>
      </c>
    </row>
    <row r="193" spans="1:6" outlineLevel="2" x14ac:dyDescent="0.25">
      <c r="A193" t="s">
        <v>291</v>
      </c>
      <c r="B193" t="s">
        <v>292</v>
      </c>
      <c r="C193" s="2">
        <v>7.97</v>
      </c>
      <c r="D193" s="3">
        <v>45869</v>
      </c>
      <c r="E193" t="s">
        <v>209</v>
      </c>
      <c r="F193" t="s">
        <v>337</v>
      </c>
    </row>
    <row r="194" spans="1:6" outlineLevel="2" x14ac:dyDescent="0.25">
      <c r="A194" t="s">
        <v>291</v>
      </c>
      <c r="B194" t="s">
        <v>292</v>
      </c>
      <c r="C194" s="2">
        <v>21.06</v>
      </c>
      <c r="D194" s="3">
        <v>45870</v>
      </c>
      <c r="E194" t="s">
        <v>203</v>
      </c>
      <c r="F194" t="s">
        <v>337</v>
      </c>
    </row>
    <row r="195" spans="1:6" outlineLevel="2" x14ac:dyDescent="0.25">
      <c r="A195" t="s">
        <v>291</v>
      </c>
      <c r="B195" t="s">
        <v>292</v>
      </c>
      <c r="C195" s="2">
        <v>42.32</v>
      </c>
      <c r="D195" s="3">
        <v>45873</v>
      </c>
      <c r="E195" t="s">
        <v>203</v>
      </c>
      <c r="F195" t="s">
        <v>337</v>
      </c>
    </row>
    <row r="196" spans="1:6" outlineLevel="2" x14ac:dyDescent="0.25">
      <c r="A196" t="s">
        <v>291</v>
      </c>
      <c r="B196" t="s">
        <v>292</v>
      </c>
      <c r="C196" s="2">
        <v>2.16</v>
      </c>
      <c r="D196" s="3">
        <v>45876</v>
      </c>
      <c r="E196" t="s">
        <v>203</v>
      </c>
      <c r="F196" t="s">
        <v>337</v>
      </c>
    </row>
    <row r="197" spans="1:6" outlineLevel="2" x14ac:dyDescent="0.25">
      <c r="A197" t="s">
        <v>291</v>
      </c>
      <c r="B197" t="s">
        <v>292</v>
      </c>
      <c r="C197" s="2">
        <v>15.12</v>
      </c>
      <c r="D197" s="3">
        <v>45875</v>
      </c>
      <c r="E197" t="s">
        <v>203</v>
      </c>
      <c r="F197" t="s">
        <v>337</v>
      </c>
    </row>
    <row r="198" spans="1:6" outlineLevel="2" x14ac:dyDescent="0.25">
      <c r="A198" t="s">
        <v>291</v>
      </c>
      <c r="B198" t="s">
        <v>292</v>
      </c>
      <c r="C198" s="2">
        <v>1.35</v>
      </c>
      <c r="D198" s="3">
        <v>45877</v>
      </c>
      <c r="E198" t="s">
        <v>203</v>
      </c>
      <c r="F198" t="s">
        <v>337</v>
      </c>
    </row>
    <row r="199" spans="1:6" outlineLevel="2" x14ac:dyDescent="0.25">
      <c r="A199" t="s">
        <v>291</v>
      </c>
      <c r="B199" t="s">
        <v>292</v>
      </c>
      <c r="C199" s="2">
        <v>33.14</v>
      </c>
      <c r="D199" s="3">
        <v>45881</v>
      </c>
      <c r="E199" t="s">
        <v>203</v>
      </c>
      <c r="F199" t="s">
        <v>337</v>
      </c>
    </row>
    <row r="200" spans="1:6" outlineLevel="2" x14ac:dyDescent="0.25">
      <c r="A200" t="s">
        <v>291</v>
      </c>
      <c r="B200" t="s">
        <v>292</v>
      </c>
      <c r="C200" s="2">
        <v>32.4</v>
      </c>
      <c r="D200" s="3">
        <v>45887</v>
      </c>
      <c r="E200" t="s">
        <v>203</v>
      </c>
      <c r="F200" t="s">
        <v>337</v>
      </c>
    </row>
    <row r="201" spans="1:6" outlineLevel="2" x14ac:dyDescent="0.25">
      <c r="A201" t="s">
        <v>291</v>
      </c>
      <c r="B201" t="s">
        <v>292</v>
      </c>
      <c r="C201" s="2">
        <v>13.57</v>
      </c>
      <c r="D201" s="3">
        <v>45880</v>
      </c>
      <c r="E201" t="s">
        <v>203</v>
      </c>
      <c r="F201" t="s">
        <v>337</v>
      </c>
    </row>
    <row r="202" spans="1:6" outlineLevel="2" x14ac:dyDescent="0.25">
      <c r="A202" t="s">
        <v>291</v>
      </c>
      <c r="B202" t="s">
        <v>292</v>
      </c>
      <c r="C202" s="2">
        <v>6.28</v>
      </c>
      <c r="D202" s="3">
        <v>45889</v>
      </c>
      <c r="E202" t="s">
        <v>203</v>
      </c>
      <c r="F202" t="s">
        <v>337</v>
      </c>
    </row>
    <row r="203" spans="1:6" outlineLevel="2" x14ac:dyDescent="0.25">
      <c r="A203" t="s">
        <v>291</v>
      </c>
      <c r="B203" t="s">
        <v>292</v>
      </c>
      <c r="C203" s="2">
        <v>2.0299999999999998</v>
      </c>
      <c r="D203" s="3">
        <v>45890</v>
      </c>
      <c r="E203" t="s">
        <v>203</v>
      </c>
      <c r="F203" t="s">
        <v>337</v>
      </c>
    </row>
    <row r="204" spans="1:6" outlineLevel="2" x14ac:dyDescent="0.25">
      <c r="A204" t="s">
        <v>291</v>
      </c>
      <c r="B204" t="s">
        <v>292</v>
      </c>
      <c r="C204" s="2">
        <v>18.5</v>
      </c>
      <c r="D204" s="3">
        <v>45891</v>
      </c>
      <c r="E204" t="s">
        <v>203</v>
      </c>
      <c r="F204" t="s">
        <v>337</v>
      </c>
    </row>
    <row r="205" spans="1:6" outlineLevel="2" x14ac:dyDescent="0.25">
      <c r="A205" t="s">
        <v>291</v>
      </c>
      <c r="B205" t="s">
        <v>292</v>
      </c>
      <c r="C205" s="2">
        <v>2.97</v>
      </c>
      <c r="D205" s="3">
        <v>45895</v>
      </c>
      <c r="E205" t="s">
        <v>203</v>
      </c>
      <c r="F205" t="s">
        <v>337</v>
      </c>
    </row>
    <row r="206" spans="1:6" outlineLevel="2" x14ac:dyDescent="0.25">
      <c r="A206" t="s">
        <v>291</v>
      </c>
      <c r="B206" t="s">
        <v>292</v>
      </c>
      <c r="C206" s="2">
        <v>7.76</v>
      </c>
      <c r="D206" s="3">
        <v>45894</v>
      </c>
      <c r="E206" t="s">
        <v>203</v>
      </c>
      <c r="F206" t="s">
        <v>337</v>
      </c>
    </row>
    <row r="207" spans="1:6" outlineLevel="2" x14ac:dyDescent="0.25">
      <c r="A207" t="s">
        <v>291</v>
      </c>
      <c r="B207" t="s">
        <v>292</v>
      </c>
      <c r="C207" s="2">
        <v>7.56</v>
      </c>
      <c r="D207" s="3">
        <v>45896</v>
      </c>
      <c r="E207" t="s">
        <v>203</v>
      </c>
      <c r="F207" t="s">
        <v>337</v>
      </c>
    </row>
    <row r="208" spans="1:6" outlineLevel="2" x14ac:dyDescent="0.25">
      <c r="A208" t="s">
        <v>291</v>
      </c>
      <c r="B208" t="s">
        <v>292</v>
      </c>
      <c r="C208" s="2">
        <v>2.5</v>
      </c>
      <c r="D208" s="3">
        <v>45883</v>
      </c>
      <c r="E208" t="s">
        <v>203</v>
      </c>
      <c r="F208" t="s">
        <v>337</v>
      </c>
    </row>
    <row r="209" spans="1:6" outlineLevel="2" x14ac:dyDescent="0.25">
      <c r="A209" t="s">
        <v>291</v>
      </c>
      <c r="B209" t="s">
        <v>292</v>
      </c>
      <c r="C209" s="2">
        <v>25.92</v>
      </c>
      <c r="D209" s="3">
        <v>45898</v>
      </c>
      <c r="E209" t="s">
        <v>203</v>
      </c>
      <c r="F209" t="s">
        <v>337</v>
      </c>
    </row>
    <row r="210" spans="1:6" outlineLevel="2" x14ac:dyDescent="0.25">
      <c r="A210" t="s">
        <v>291</v>
      </c>
      <c r="B210" t="s">
        <v>292</v>
      </c>
      <c r="C210" s="2">
        <v>0.54</v>
      </c>
      <c r="D210" s="3">
        <v>45897</v>
      </c>
      <c r="E210" t="s">
        <v>203</v>
      </c>
      <c r="F210" t="s">
        <v>337</v>
      </c>
    </row>
    <row r="211" spans="1:6" outlineLevel="2" x14ac:dyDescent="0.25">
      <c r="A211" s="4" t="s">
        <v>291</v>
      </c>
      <c r="B211" s="4"/>
      <c r="C211" s="5">
        <v>1682.51</v>
      </c>
      <c r="D211" s="6"/>
      <c r="E211" s="4" t="s">
        <v>189</v>
      </c>
      <c r="F211" s="4" t="s">
        <v>189</v>
      </c>
    </row>
    <row r="212" spans="1:6" outlineLevel="2" x14ac:dyDescent="0.25">
      <c r="A212" t="s">
        <v>305</v>
      </c>
      <c r="B212" t="s">
        <v>306</v>
      </c>
      <c r="C212" s="2">
        <v>346</v>
      </c>
      <c r="D212" s="3">
        <v>45672</v>
      </c>
      <c r="E212" t="s">
        <v>232</v>
      </c>
      <c r="F212" t="s">
        <v>307</v>
      </c>
    </row>
    <row r="213" spans="1:6" outlineLevel="2" x14ac:dyDescent="0.25">
      <c r="A213" t="s">
        <v>305</v>
      </c>
      <c r="B213" t="s">
        <v>306</v>
      </c>
      <c r="C213" s="2">
        <v>392</v>
      </c>
      <c r="D213" s="3">
        <v>45761</v>
      </c>
      <c r="E213" t="s">
        <v>199</v>
      </c>
      <c r="F213" t="s">
        <v>307</v>
      </c>
    </row>
    <row r="214" spans="1:6" outlineLevel="2" x14ac:dyDescent="0.25">
      <c r="A214" t="s">
        <v>305</v>
      </c>
      <c r="B214" t="s">
        <v>306</v>
      </c>
      <c r="C214" s="2">
        <v>479</v>
      </c>
      <c r="D214" s="3">
        <v>45853</v>
      </c>
      <c r="E214" t="s">
        <v>209</v>
      </c>
      <c r="F214" t="s">
        <v>307</v>
      </c>
    </row>
    <row r="215" spans="1:6" outlineLevel="2" x14ac:dyDescent="0.25">
      <c r="A215" s="4" t="s">
        <v>305</v>
      </c>
      <c r="B215" s="4"/>
      <c r="C215" s="5">
        <v>1217</v>
      </c>
      <c r="D215" s="6"/>
      <c r="E215" s="4" t="s">
        <v>189</v>
      </c>
      <c r="F215" s="4" t="s">
        <v>189</v>
      </c>
    </row>
    <row r="216" spans="1:6" outlineLevel="1" x14ac:dyDescent="0.25">
      <c r="A216" t="s">
        <v>309</v>
      </c>
      <c r="B216" t="s">
        <v>310</v>
      </c>
      <c r="C216" s="2">
        <v>-785.71</v>
      </c>
      <c r="D216" s="3">
        <v>45733</v>
      </c>
      <c r="E216" t="s">
        <v>234</v>
      </c>
      <c r="F216" s="76" t="s">
        <v>314</v>
      </c>
    </row>
    <row r="217" spans="1:6" outlineLevel="2" x14ac:dyDescent="0.25">
      <c r="A217" t="s">
        <v>309</v>
      </c>
      <c r="B217" t="s">
        <v>310</v>
      </c>
      <c r="C217" s="2">
        <v>-2033.06</v>
      </c>
      <c r="D217" s="3">
        <v>45733</v>
      </c>
      <c r="E217" t="s">
        <v>234</v>
      </c>
      <c r="F217" s="76" t="s">
        <v>314</v>
      </c>
    </row>
    <row r="218" spans="1:6" outlineLevel="2" x14ac:dyDescent="0.25">
      <c r="A218" t="s">
        <v>309</v>
      </c>
      <c r="B218" t="s">
        <v>310</v>
      </c>
      <c r="C218" s="2">
        <v>-2157.0300000000002</v>
      </c>
      <c r="D218" s="3">
        <v>45735</v>
      </c>
      <c r="E218" t="s">
        <v>234</v>
      </c>
      <c r="F218" s="76" t="s">
        <v>339</v>
      </c>
    </row>
    <row r="219" spans="1:6" outlineLevel="2" x14ac:dyDescent="0.25">
      <c r="A219" t="s">
        <v>309</v>
      </c>
      <c r="B219" t="s">
        <v>310</v>
      </c>
      <c r="C219" s="2">
        <v>-867.77</v>
      </c>
      <c r="D219" s="3">
        <v>45874</v>
      </c>
      <c r="E219" t="s">
        <v>203</v>
      </c>
      <c r="F219" s="76" t="s">
        <v>340</v>
      </c>
    </row>
    <row r="220" spans="1:6" outlineLevel="1" x14ac:dyDescent="0.25">
      <c r="A220" t="s">
        <v>309</v>
      </c>
      <c r="B220" t="s">
        <v>310</v>
      </c>
      <c r="C220" s="2">
        <v>-1630.36</v>
      </c>
      <c r="D220" s="3">
        <v>45875</v>
      </c>
      <c r="E220" t="s">
        <v>203</v>
      </c>
      <c r="F220" s="76" t="s">
        <v>314</v>
      </c>
    </row>
    <row r="221" spans="1:6" outlineLevel="2" x14ac:dyDescent="0.25">
      <c r="A221" t="s">
        <v>309</v>
      </c>
      <c r="B221" t="s">
        <v>310</v>
      </c>
      <c r="C221" s="2">
        <v>-2206.61</v>
      </c>
      <c r="D221" s="3">
        <v>45875</v>
      </c>
      <c r="E221" t="s">
        <v>203</v>
      </c>
      <c r="F221" s="76" t="s">
        <v>314</v>
      </c>
    </row>
    <row r="222" spans="1:6" outlineLevel="2" x14ac:dyDescent="0.25">
      <c r="A222" t="s">
        <v>309</v>
      </c>
      <c r="B222" t="s">
        <v>310</v>
      </c>
      <c r="C222" s="2">
        <v>-3570.25</v>
      </c>
      <c r="D222" s="3">
        <v>45873</v>
      </c>
      <c r="E222" t="s">
        <v>203</v>
      </c>
      <c r="F222" s="76" t="s">
        <v>341</v>
      </c>
    </row>
    <row r="223" spans="1:6" outlineLevel="2" x14ac:dyDescent="0.25">
      <c r="A223" t="s">
        <v>309</v>
      </c>
      <c r="B223" t="s">
        <v>310</v>
      </c>
      <c r="C223" s="2">
        <v>-1066.1099999999999</v>
      </c>
      <c r="D223" s="3">
        <v>45897</v>
      </c>
      <c r="E223" t="s">
        <v>203</v>
      </c>
      <c r="F223" s="76" t="s">
        <v>339</v>
      </c>
    </row>
    <row r="224" spans="1:6" outlineLevel="2" x14ac:dyDescent="0.25">
      <c r="A224" t="s">
        <v>309</v>
      </c>
      <c r="B224" t="s">
        <v>310</v>
      </c>
      <c r="C224" s="2">
        <v>-1661.16</v>
      </c>
      <c r="D224" s="3">
        <v>45755</v>
      </c>
      <c r="E224" t="s">
        <v>199</v>
      </c>
      <c r="F224" s="76" t="s">
        <v>339</v>
      </c>
    </row>
    <row r="225" spans="1:9" outlineLevel="2" x14ac:dyDescent="0.25">
      <c r="A225" t="s">
        <v>309</v>
      </c>
      <c r="B225" t="s">
        <v>310</v>
      </c>
      <c r="C225" s="2">
        <v>-2043.75</v>
      </c>
      <c r="D225" s="3">
        <v>45769</v>
      </c>
      <c r="E225" t="s">
        <v>199</v>
      </c>
      <c r="F225" s="76" t="s">
        <v>314</v>
      </c>
    </row>
    <row r="226" spans="1:9" outlineLevel="2" x14ac:dyDescent="0.25">
      <c r="A226" t="s">
        <v>309</v>
      </c>
      <c r="B226" t="s">
        <v>310</v>
      </c>
      <c r="C226" s="2">
        <v>-1239.67</v>
      </c>
      <c r="D226" s="3">
        <v>45769</v>
      </c>
      <c r="E226" t="s">
        <v>199</v>
      </c>
      <c r="F226" s="76" t="s">
        <v>314</v>
      </c>
    </row>
    <row r="227" spans="1:9" outlineLevel="2" x14ac:dyDescent="0.25">
      <c r="A227" s="4" t="s">
        <v>309</v>
      </c>
      <c r="B227" s="4"/>
      <c r="C227" s="5">
        <f>SUM(C216:C226)</f>
        <v>-19261.479999999996</v>
      </c>
      <c r="D227" s="6"/>
      <c r="E227" s="4" t="s">
        <v>189</v>
      </c>
      <c r="F227" s="4" t="s">
        <v>189</v>
      </c>
    </row>
    <row r="228" spans="1:9" outlineLevel="2" x14ac:dyDescent="0.25">
      <c r="A228" t="s">
        <v>316</v>
      </c>
      <c r="B228" t="s">
        <v>317</v>
      </c>
      <c r="C228" s="91">
        <f>299.15+616</f>
        <v>915.15</v>
      </c>
      <c r="D228" s="3">
        <v>45688</v>
      </c>
      <c r="E228" t="s">
        <v>232</v>
      </c>
      <c r="F228" t="s">
        <v>319</v>
      </c>
    </row>
    <row r="229" spans="1:9" outlineLevel="2" x14ac:dyDescent="0.25">
      <c r="A229" t="s">
        <v>316</v>
      </c>
      <c r="B229" t="s">
        <v>317</v>
      </c>
      <c r="C229" s="91">
        <f>133.95+600</f>
        <v>733.95</v>
      </c>
      <c r="D229" s="3">
        <v>45716</v>
      </c>
      <c r="E229" t="s">
        <v>233</v>
      </c>
      <c r="F229" t="s">
        <v>319</v>
      </c>
    </row>
    <row r="230" spans="1:9" outlineLevel="2" x14ac:dyDescent="0.25">
      <c r="A230" t="s">
        <v>316</v>
      </c>
      <c r="B230" t="s">
        <v>317</v>
      </c>
      <c r="C230" s="91">
        <f>294.69+630</f>
        <v>924.69</v>
      </c>
      <c r="D230" s="3">
        <v>45747</v>
      </c>
      <c r="E230" t="s">
        <v>234</v>
      </c>
      <c r="F230" t="s">
        <v>319</v>
      </c>
    </row>
    <row r="231" spans="1:9" outlineLevel="2" x14ac:dyDescent="0.25">
      <c r="A231" t="s">
        <v>316</v>
      </c>
      <c r="B231" t="s">
        <v>317</v>
      </c>
      <c r="C231" s="91">
        <f>314.33+610</f>
        <v>924.32999999999993</v>
      </c>
      <c r="D231" s="3">
        <v>45777</v>
      </c>
      <c r="E231" t="s">
        <v>199</v>
      </c>
      <c r="F231" t="s">
        <v>319</v>
      </c>
    </row>
    <row r="232" spans="1:9" outlineLevel="1" x14ac:dyDescent="0.25">
      <c r="A232" t="s">
        <v>316</v>
      </c>
      <c r="B232" t="s">
        <v>317</v>
      </c>
      <c r="C232" s="91">
        <f>747.4+600</f>
        <v>1347.4</v>
      </c>
      <c r="D232" s="3">
        <v>45808</v>
      </c>
      <c r="E232" t="s">
        <v>238</v>
      </c>
      <c r="F232" t="s">
        <v>319</v>
      </c>
      <c r="I232" s="72"/>
    </row>
    <row r="233" spans="1:9" outlineLevel="2" x14ac:dyDescent="0.25">
      <c r="A233" t="s">
        <v>316</v>
      </c>
      <c r="B233" t="s">
        <v>317</v>
      </c>
      <c r="C233" s="91">
        <f>53.58+643.53</f>
        <v>697.11</v>
      </c>
      <c r="D233" s="3">
        <v>45838</v>
      </c>
      <c r="E233" t="s">
        <v>218</v>
      </c>
      <c r="F233" t="s">
        <v>319</v>
      </c>
      <c r="I233" s="72"/>
    </row>
    <row r="234" spans="1:9" outlineLevel="2" x14ac:dyDescent="0.25">
      <c r="A234" t="s">
        <v>316</v>
      </c>
      <c r="B234" t="s">
        <v>317</v>
      </c>
      <c r="C234" s="91">
        <v>1160.7</v>
      </c>
      <c r="D234" s="3">
        <v>45900</v>
      </c>
      <c r="E234" t="s">
        <v>203</v>
      </c>
      <c r="F234" t="s">
        <v>320</v>
      </c>
      <c r="I234" s="72"/>
    </row>
    <row r="235" spans="1:9" outlineLevel="2" x14ac:dyDescent="0.25">
      <c r="A235" t="s">
        <v>316</v>
      </c>
      <c r="B235" t="s">
        <v>317</v>
      </c>
      <c r="C235" s="91">
        <f>13045.11-0.05</f>
        <v>13045.060000000001</v>
      </c>
      <c r="D235" s="3">
        <v>45900</v>
      </c>
      <c r="E235" t="s">
        <v>203</v>
      </c>
      <c r="F235" t="s">
        <v>342</v>
      </c>
    </row>
    <row r="236" spans="1:9" outlineLevel="2" x14ac:dyDescent="0.25">
      <c r="A236" s="4" t="s">
        <v>316</v>
      </c>
      <c r="B236" s="4"/>
      <c r="C236" s="92">
        <f>SUM(C228:C235)</f>
        <v>19748.39</v>
      </c>
      <c r="D236" s="6"/>
      <c r="E236" s="4" t="s">
        <v>189</v>
      </c>
      <c r="F236" s="4" t="s">
        <v>189</v>
      </c>
    </row>
    <row r="237" spans="1:9" outlineLevel="2" x14ac:dyDescent="0.25">
      <c r="A237" t="s">
        <v>321</v>
      </c>
      <c r="B237" t="s">
        <v>322</v>
      </c>
      <c r="C237" s="91">
        <f>1391.08</f>
        <v>1391.08</v>
      </c>
      <c r="D237" s="3">
        <v>45688</v>
      </c>
      <c r="E237" t="s">
        <v>232</v>
      </c>
      <c r="F237" t="s">
        <v>323</v>
      </c>
    </row>
    <row r="238" spans="1:9" outlineLevel="2" x14ac:dyDescent="0.25">
      <c r="A238" t="s">
        <v>321</v>
      </c>
      <c r="B238" t="s">
        <v>322</v>
      </c>
      <c r="C238" s="91">
        <f>31304.89-615.47+0.12</f>
        <v>30689.539999999997</v>
      </c>
      <c r="D238" s="3">
        <v>45688</v>
      </c>
      <c r="E238" t="s">
        <v>232</v>
      </c>
      <c r="F238" t="s">
        <v>323</v>
      </c>
      <c r="G238" s="72"/>
    </row>
    <row r="239" spans="1:9" outlineLevel="2" x14ac:dyDescent="0.25">
      <c r="A239" t="s">
        <v>321</v>
      </c>
      <c r="B239" t="s">
        <v>322</v>
      </c>
      <c r="C239" s="91">
        <v>443.76</v>
      </c>
      <c r="D239" s="3">
        <v>45716</v>
      </c>
      <c r="E239" t="s">
        <v>233</v>
      </c>
      <c r="F239" t="s">
        <v>323</v>
      </c>
      <c r="G239" s="72"/>
    </row>
    <row r="240" spans="1:9" outlineLevel="2" x14ac:dyDescent="0.25">
      <c r="A240" t="s">
        <v>321</v>
      </c>
      <c r="B240" t="s">
        <v>322</v>
      </c>
      <c r="C240" s="91">
        <f>28007.39-600</f>
        <v>27407.39</v>
      </c>
      <c r="D240" s="3">
        <v>45716</v>
      </c>
      <c r="E240" t="s">
        <v>233</v>
      </c>
      <c r="F240" t="s">
        <v>323</v>
      </c>
      <c r="G240" s="72"/>
    </row>
    <row r="241" spans="1:9" outlineLevel="1" x14ac:dyDescent="0.25">
      <c r="A241" t="s">
        <v>321</v>
      </c>
      <c r="B241" t="s">
        <v>322</v>
      </c>
      <c r="C241" s="91">
        <v>1257.1199999999999</v>
      </c>
      <c r="D241" s="3">
        <v>45747</v>
      </c>
      <c r="E241" t="s">
        <v>234</v>
      </c>
      <c r="F241" t="s">
        <v>323</v>
      </c>
    </row>
    <row r="242" spans="1:9" outlineLevel="2" x14ac:dyDescent="0.25">
      <c r="A242" t="s">
        <v>321</v>
      </c>
      <c r="B242" t="s">
        <v>322</v>
      </c>
      <c r="C242" s="91">
        <f>39336.64-630</f>
        <v>38706.639999999999</v>
      </c>
      <c r="D242" s="3">
        <v>45747</v>
      </c>
      <c r="E242" t="s">
        <v>234</v>
      </c>
      <c r="F242" t="s">
        <v>323</v>
      </c>
    </row>
    <row r="243" spans="1:9" outlineLevel="2" x14ac:dyDescent="0.25">
      <c r="A243" t="s">
        <v>321</v>
      </c>
      <c r="B243" t="s">
        <v>322</v>
      </c>
      <c r="C243" s="91">
        <v>896.42</v>
      </c>
      <c r="D243" s="3">
        <v>45777</v>
      </c>
      <c r="E243" t="s">
        <v>199</v>
      </c>
      <c r="F243" t="s">
        <v>323</v>
      </c>
    </row>
    <row r="244" spans="1:9" outlineLevel="2" x14ac:dyDescent="0.25">
      <c r="A244" t="s">
        <v>321</v>
      </c>
      <c r="B244" t="s">
        <v>322</v>
      </c>
      <c r="C244" s="91">
        <f>34551.42-610</f>
        <v>33941.42</v>
      </c>
      <c r="D244" s="3">
        <v>45777</v>
      </c>
      <c r="E244" t="s">
        <v>199</v>
      </c>
      <c r="F244" t="s">
        <v>323</v>
      </c>
    </row>
    <row r="245" spans="1:9" outlineLevel="2" x14ac:dyDescent="0.25">
      <c r="A245" t="s">
        <v>321</v>
      </c>
      <c r="B245" t="s">
        <v>322</v>
      </c>
      <c r="C245" s="91">
        <v>1262.53</v>
      </c>
      <c r="D245" s="3">
        <v>45808</v>
      </c>
      <c r="E245" t="s">
        <v>238</v>
      </c>
      <c r="F245" t="s">
        <v>323</v>
      </c>
    </row>
    <row r="246" spans="1:9" outlineLevel="2" x14ac:dyDescent="0.25">
      <c r="A246" t="s">
        <v>321</v>
      </c>
      <c r="B246" t="s">
        <v>322</v>
      </c>
      <c r="C246" s="91">
        <f>29474.43-600</f>
        <v>28874.43</v>
      </c>
      <c r="D246" s="3">
        <v>45808</v>
      </c>
      <c r="E246" t="s">
        <v>238</v>
      </c>
      <c r="F246" t="s">
        <v>323</v>
      </c>
    </row>
    <row r="247" spans="1:9" outlineLevel="2" x14ac:dyDescent="0.25">
      <c r="A247" t="s">
        <v>321</v>
      </c>
      <c r="B247" t="s">
        <v>322</v>
      </c>
      <c r="C247" s="91">
        <v>21.43</v>
      </c>
      <c r="D247" s="3">
        <v>45838</v>
      </c>
      <c r="E247" t="s">
        <v>218</v>
      </c>
      <c r="F247" t="s">
        <v>323</v>
      </c>
    </row>
    <row r="248" spans="1:9" outlineLevel="2" x14ac:dyDescent="0.25">
      <c r="A248" t="s">
        <v>321</v>
      </c>
      <c r="B248" t="s">
        <v>322</v>
      </c>
      <c r="C248" s="91">
        <f>32084.56-643.53</f>
        <v>31441.030000000002</v>
      </c>
      <c r="D248" s="3">
        <v>45838</v>
      </c>
      <c r="E248" t="s">
        <v>218</v>
      </c>
      <c r="F248" t="s">
        <v>323</v>
      </c>
    </row>
    <row r="249" spans="1:9" outlineLevel="2" x14ac:dyDescent="0.25">
      <c r="A249" t="s">
        <v>321</v>
      </c>
      <c r="B249" t="s">
        <v>322</v>
      </c>
      <c r="C249" s="91">
        <v>13793.37</v>
      </c>
      <c r="D249" s="3">
        <v>45869</v>
      </c>
      <c r="E249" t="s">
        <v>209</v>
      </c>
      <c r="F249" t="s">
        <v>323</v>
      </c>
    </row>
    <row r="250" spans="1:9" outlineLevel="2" x14ac:dyDescent="0.25">
      <c r="A250" t="s">
        <v>321</v>
      </c>
      <c r="B250" t="s">
        <v>322</v>
      </c>
      <c r="C250" s="91">
        <v>71.42</v>
      </c>
      <c r="D250" s="3">
        <v>45900</v>
      </c>
      <c r="E250" t="s">
        <v>203</v>
      </c>
      <c r="F250" t="s">
        <v>323</v>
      </c>
    </row>
    <row r="251" spans="1:9" outlineLevel="2" x14ac:dyDescent="0.25">
      <c r="A251" t="s">
        <v>321</v>
      </c>
      <c r="B251" t="s">
        <v>322</v>
      </c>
      <c r="C251" s="91">
        <v>12173.5</v>
      </c>
      <c r="D251" s="3">
        <v>45900</v>
      </c>
      <c r="E251" t="s">
        <v>203</v>
      </c>
      <c r="F251" t="s">
        <v>323</v>
      </c>
    </row>
    <row r="252" spans="1:9" outlineLevel="2" x14ac:dyDescent="0.25">
      <c r="A252" s="4" t="s">
        <v>321</v>
      </c>
      <c r="B252" s="4"/>
      <c r="C252" s="92">
        <f>SUM(C237:C251)</f>
        <v>222371.08</v>
      </c>
      <c r="D252" s="6"/>
      <c r="E252" s="4" t="s">
        <v>189</v>
      </c>
      <c r="F252" s="4" t="s">
        <v>189</v>
      </c>
    </row>
    <row r="253" spans="1:9" outlineLevel="2" x14ac:dyDescent="0.25">
      <c r="A253" s="7" t="s">
        <v>189</v>
      </c>
      <c r="B253" s="7"/>
      <c r="C253" s="8"/>
      <c r="D253" s="9"/>
      <c r="E253" s="7" t="s">
        <v>189</v>
      </c>
      <c r="F253" s="7" t="s">
        <v>189</v>
      </c>
      <c r="I253" s="72"/>
    </row>
    <row r="254" spans="1:9" outlineLevel="2" x14ac:dyDescent="0.25">
      <c r="C254" s="72"/>
    </row>
    <row r="255" spans="1:9" outlineLevel="2" x14ac:dyDescent="0.25">
      <c r="C255" s="72"/>
    </row>
    <row r="256" spans="1:9" outlineLevel="2" x14ac:dyDescent="0.25">
      <c r="C256" s="72"/>
    </row>
    <row r="257" spans="1:7" outlineLevel="1" x14ac:dyDescent="0.25">
      <c r="G257" s="72"/>
    </row>
    <row r="258" spans="1:7" x14ac:dyDescent="0.25">
      <c r="G258" s="72"/>
    </row>
    <row r="259" spans="1:7" x14ac:dyDescent="0.25">
      <c r="D259" s="72"/>
      <c r="G259" s="72"/>
    </row>
    <row r="260" spans="1:7" x14ac:dyDescent="0.25">
      <c r="D260" s="72"/>
    </row>
    <row r="261" spans="1:7" x14ac:dyDescent="0.25">
      <c r="A261" s="87" t="s">
        <v>343</v>
      </c>
      <c r="B261" s="93" t="s">
        <v>447</v>
      </c>
      <c r="C261" s="87"/>
      <c r="D261" s="119"/>
      <c r="E261" s="87"/>
      <c r="F261" s="2"/>
    </row>
    <row r="262" spans="1:7" x14ac:dyDescent="0.25">
      <c r="A262" s="87"/>
      <c r="B262" s="87"/>
      <c r="D262" s="2"/>
      <c r="F262" s="2"/>
      <c r="G262" s="72"/>
    </row>
    <row r="263" spans="1:7" x14ac:dyDescent="0.25">
      <c r="A263" s="87"/>
      <c r="B263" s="87" t="s">
        <v>344</v>
      </c>
      <c r="D263" s="2"/>
      <c r="F263" s="2"/>
      <c r="G263" s="72"/>
    </row>
    <row r="264" spans="1:7" x14ac:dyDescent="0.25">
      <c r="A264" s="87"/>
      <c r="B264" s="87" t="s">
        <v>345</v>
      </c>
      <c r="D264" s="2"/>
      <c r="F264" s="2"/>
      <c r="G264" s="72"/>
    </row>
    <row r="265" spans="1:7" x14ac:dyDescent="0.25">
      <c r="A265" s="87"/>
      <c r="B265" s="87"/>
      <c r="D265" s="2"/>
      <c r="F265" s="2"/>
      <c r="G265" s="72"/>
    </row>
    <row r="266" spans="1:7" x14ac:dyDescent="0.25">
      <c r="A266" s="87"/>
      <c r="B266" s="93" t="s">
        <v>346</v>
      </c>
      <c r="D266" s="2"/>
      <c r="F266" s="2"/>
      <c r="G266" s="72"/>
    </row>
    <row r="267" spans="1:7" x14ac:dyDescent="0.25">
      <c r="A267" s="87"/>
      <c r="B267" s="93" t="s">
        <v>347</v>
      </c>
      <c r="D267" s="2"/>
      <c r="F267" s="2"/>
      <c r="G267" s="72"/>
    </row>
    <row r="268" spans="1:7" x14ac:dyDescent="0.25">
      <c r="A268" s="87"/>
      <c r="B268" s="93" t="s">
        <v>348</v>
      </c>
    </row>
  </sheetData>
  <autoFilter ref="A1:P1" xr:uid="{00000000-0001-0000-0200-000000000000}"/>
  <phoneticPr fontId="0" type="noConversion"/>
  <pageMargins left="0.25" right="0.25" top="0.75" bottom="0.75" header="0.3" footer="0.3"/>
  <pageSetup paperSize="9" scale="8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73"/>
  <sheetViews>
    <sheetView zoomScale="80" zoomScaleNormal="80" workbookViewId="0">
      <selection activeCell="A4" sqref="A4"/>
    </sheetView>
  </sheetViews>
  <sheetFormatPr defaultRowHeight="12.5" x14ac:dyDescent="0.25"/>
  <cols>
    <col min="1" max="1" width="40" bestFit="1" customWidth="1"/>
    <col min="2" max="2" width="5.7265625" bestFit="1" customWidth="1"/>
    <col min="3" max="3" width="7.7265625" bestFit="1" customWidth="1"/>
    <col min="4" max="4" width="12.7265625" customWidth="1"/>
    <col min="5" max="5" width="20.7265625" customWidth="1"/>
    <col min="6" max="6" width="21.81640625" bestFit="1" customWidth="1"/>
    <col min="7" max="7" width="7" bestFit="1" customWidth="1"/>
    <col min="8" max="8" width="14" bestFit="1" customWidth="1"/>
    <col min="9" max="9" width="11" customWidth="1"/>
    <col min="10" max="10" width="22.54296875" customWidth="1"/>
    <col min="11" max="11" width="10.26953125" customWidth="1"/>
    <col min="12" max="12" width="41.81640625" bestFit="1" customWidth="1"/>
    <col min="13" max="13" width="5.7265625" bestFit="1" customWidth="1"/>
    <col min="14" max="14" width="7.7265625" bestFit="1" customWidth="1"/>
    <col min="15" max="15" width="10.453125" bestFit="1" customWidth="1"/>
    <col min="16" max="16" width="14.26953125" bestFit="1" customWidth="1"/>
    <col min="17" max="17" width="21.81640625" bestFit="1" customWidth="1"/>
    <col min="18" max="18" width="6.7265625" bestFit="1" customWidth="1"/>
    <col min="19" max="19" width="14.26953125" bestFit="1" customWidth="1"/>
    <col min="20" max="20" width="11.7265625" customWidth="1"/>
    <col min="21" max="21" width="14.26953125" bestFit="1" customWidth="1"/>
  </cols>
  <sheetData>
    <row r="1" spans="1:22" ht="18.5" x14ac:dyDescent="0.45">
      <c r="A1" s="63" t="s">
        <v>349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16" t="s">
        <v>349</v>
      </c>
      <c r="M1" s="117"/>
      <c r="N1" s="117"/>
      <c r="O1" s="117"/>
      <c r="P1" s="117"/>
      <c r="Q1" s="117"/>
      <c r="R1" s="117"/>
    </row>
    <row r="2" spans="1:22" ht="14.5" x14ac:dyDescent="0.35">
      <c r="A2" s="57"/>
      <c r="B2" s="57"/>
      <c r="C2" s="57"/>
      <c r="D2" s="57"/>
      <c r="E2" s="57"/>
      <c r="F2" s="77"/>
      <c r="G2" s="57"/>
      <c r="H2" s="57"/>
      <c r="I2" s="57"/>
      <c r="J2" s="57"/>
      <c r="K2" s="57"/>
      <c r="L2" s="65"/>
      <c r="M2" s="65"/>
      <c r="N2" s="65"/>
      <c r="O2" s="65"/>
      <c r="P2" s="65"/>
      <c r="Q2" s="65"/>
      <c r="R2" s="65"/>
    </row>
    <row r="3" spans="1:22" ht="14.5" x14ac:dyDescent="0.35">
      <c r="A3" s="59" t="s">
        <v>350</v>
      </c>
      <c r="B3" s="57" t="s">
        <v>351</v>
      </c>
      <c r="C3" s="57"/>
      <c r="D3" s="57"/>
      <c r="E3" s="57"/>
      <c r="F3" s="57"/>
      <c r="G3" s="57"/>
      <c r="H3" s="57"/>
      <c r="I3" s="57"/>
      <c r="J3" s="57"/>
      <c r="K3" s="57"/>
      <c r="L3" s="66" t="s">
        <v>350</v>
      </c>
      <c r="M3" s="118" t="s">
        <v>352</v>
      </c>
      <c r="N3" s="118"/>
      <c r="O3" s="118"/>
      <c r="P3" s="118"/>
      <c r="Q3" s="118"/>
      <c r="R3" s="118"/>
    </row>
    <row r="4" spans="1:22" ht="14.5" x14ac:dyDescent="0.35">
      <c r="A4" s="59" t="s">
        <v>353</v>
      </c>
      <c r="B4" s="57" t="s">
        <v>354</v>
      </c>
      <c r="C4" s="57"/>
      <c r="D4" s="57"/>
      <c r="E4" s="57"/>
      <c r="F4" s="57"/>
      <c r="G4" s="57"/>
      <c r="H4" s="57"/>
      <c r="I4" s="57"/>
      <c r="J4" s="57"/>
      <c r="K4" s="57"/>
      <c r="L4" s="66" t="s">
        <v>353</v>
      </c>
      <c r="M4" s="118" t="s">
        <v>354</v>
      </c>
      <c r="N4" s="118"/>
      <c r="O4" s="118"/>
      <c r="P4" s="118"/>
      <c r="Q4" s="118"/>
      <c r="R4" s="118"/>
    </row>
    <row r="5" spans="1:22" ht="14.5" x14ac:dyDescent="0.3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66"/>
      <c r="M5" s="118"/>
      <c r="N5" s="118"/>
      <c r="O5" s="118"/>
      <c r="P5" s="118"/>
      <c r="Q5" s="118"/>
      <c r="R5" s="118"/>
    </row>
    <row r="6" spans="1:22" ht="43.5" x14ac:dyDescent="0.35">
      <c r="A6" s="129" t="s">
        <v>355</v>
      </c>
      <c r="B6" s="129" t="s">
        <v>356</v>
      </c>
      <c r="C6" s="129" t="s">
        <v>357</v>
      </c>
      <c r="D6" s="130" t="s">
        <v>358</v>
      </c>
      <c r="E6" s="131" t="s">
        <v>359</v>
      </c>
      <c r="F6" s="132" t="s">
        <v>360</v>
      </c>
      <c r="G6" s="132"/>
      <c r="H6" s="132"/>
      <c r="I6" s="133" t="s">
        <v>361</v>
      </c>
      <c r="J6" s="57"/>
      <c r="K6" s="57"/>
      <c r="L6" s="129" t="s">
        <v>355</v>
      </c>
      <c r="M6" s="129" t="s">
        <v>356</v>
      </c>
      <c r="N6" s="129" t="s">
        <v>357</v>
      </c>
      <c r="O6" s="130" t="s">
        <v>358</v>
      </c>
      <c r="P6" s="131" t="s">
        <v>359</v>
      </c>
      <c r="Q6" s="132" t="s">
        <v>360</v>
      </c>
      <c r="R6" s="132"/>
      <c r="S6" s="132"/>
      <c r="T6" s="133" t="s">
        <v>361</v>
      </c>
    </row>
    <row r="7" spans="1:22" s="64" customFormat="1" ht="14.5" x14ac:dyDescent="0.35">
      <c r="A7" s="134"/>
      <c r="B7" s="134"/>
      <c r="C7" s="134"/>
      <c r="D7" s="135" t="s">
        <v>362</v>
      </c>
      <c r="E7" s="136" t="s">
        <v>362</v>
      </c>
      <c r="F7" s="137" t="s">
        <v>363</v>
      </c>
      <c r="G7" s="138" t="s">
        <v>364</v>
      </c>
      <c r="H7" s="137" t="s">
        <v>362</v>
      </c>
      <c r="I7" s="137" t="s">
        <v>363</v>
      </c>
      <c r="J7" s="58"/>
      <c r="K7" s="58"/>
      <c r="L7" s="134"/>
      <c r="M7" s="134"/>
      <c r="N7" s="134"/>
      <c r="O7" s="135" t="s">
        <v>362</v>
      </c>
      <c r="P7" s="136" t="s">
        <v>362</v>
      </c>
      <c r="Q7" s="137" t="s">
        <v>363</v>
      </c>
      <c r="R7" s="138" t="s">
        <v>364</v>
      </c>
      <c r="S7" s="137" t="s">
        <v>362</v>
      </c>
      <c r="T7" s="137" t="s">
        <v>363</v>
      </c>
    </row>
    <row r="8" spans="1:22" ht="14.5" x14ac:dyDescent="0.35">
      <c r="A8" s="74" t="s">
        <v>365</v>
      </c>
      <c r="B8" s="60" t="s">
        <v>366</v>
      </c>
      <c r="C8" s="60">
        <v>903</v>
      </c>
      <c r="D8" s="62">
        <v>9.57</v>
      </c>
      <c r="E8" s="61">
        <v>8641.7099999999991</v>
      </c>
      <c r="F8" s="78">
        <v>27530</v>
      </c>
      <c r="G8" s="79">
        <v>21</v>
      </c>
      <c r="H8" s="78">
        <v>22752.066115702481</v>
      </c>
      <c r="I8" s="78">
        <v>30.487264673311184</v>
      </c>
      <c r="J8" s="57"/>
      <c r="K8" s="80"/>
      <c r="L8" s="73" t="s">
        <v>367</v>
      </c>
      <c r="M8" s="68" t="s">
        <v>366</v>
      </c>
      <c r="N8" s="68">
        <v>17</v>
      </c>
      <c r="O8" s="61">
        <f t="shared" ref="O8:O10" si="0">+P8/N8</f>
        <v>49.158823529411769</v>
      </c>
      <c r="P8" s="61">
        <v>835.7</v>
      </c>
      <c r="Q8" s="81">
        <v>2720</v>
      </c>
      <c r="R8" s="67">
        <v>21</v>
      </c>
      <c r="S8" s="81">
        <f>ROUND(+Q8/1.21,2)</f>
        <v>2247.9299999999998</v>
      </c>
      <c r="T8" s="81">
        <f t="shared" ref="T8:T11" si="1">ROUND(+Q8/N8,2)</f>
        <v>160</v>
      </c>
    </row>
    <row r="9" spans="1:22" ht="14.5" x14ac:dyDescent="0.35">
      <c r="A9" s="60" t="s">
        <v>368</v>
      </c>
      <c r="B9" s="60" t="s">
        <v>366</v>
      </c>
      <c r="C9" s="60">
        <v>10</v>
      </c>
      <c r="D9" s="62">
        <v>34.83</v>
      </c>
      <c r="E9" s="61">
        <v>348.3</v>
      </c>
      <c r="F9" s="78">
        <v>1300</v>
      </c>
      <c r="G9" s="79">
        <v>12</v>
      </c>
      <c r="H9" s="78">
        <v>1160.7142857142856</v>
      </c>
      <c r="I9" s="78">
        <v>130</v>
      </c>
      <c r="J9" s="57"/>
      <c r="K9" s="80"/>
      <c r="L9" s="73" t="s">
        <v>365</v>
      </c>
      <c r="M9" s="68" t="s">
        <v>366</v>
      </c>
      <c r="N9" s="68">
        <v>932</v>
      </c>
      <c r="O9" s="61">
        <f t="shared" si="0"/>
        <v>9.8639163090128754</v>
      </c>
      <c r="P9" s="61">
        <v>9193.17</v>
      </c>
      <c r="Q9" s="81">
        <v>27960</v>
      </c>
      <c r="R9" s="67">
        <v>21</v>
      </c>
      <c r="S9" s="81">
        <f t="shared" ref="S9" si="2">ROUND(+Q9/1.21,2)</f>
        <v>23107.439999999999</v>
      </c>
      <c r="T9" s="81">
        <f t="shared" si="1"/>
        <v>30</v>
      </c>
    </row>
    <row r="10" spans="1:22" ht="14.5" x14ac:dyDescent="0.35">
      <c r="A10" s="60" t="s">
        <v>369</v>
      </c>
      <c r="B10" s="60" t="s">
        <v>366</v>
      </c>
      <c r="C10" s="60">
        <v>84</v>
      </c>
      <c r="D10" s="62">
        <v>31.73</v>
      </c>
      <c r="E10" s="61">
        <v>2665.32</v>
      </c>
      <c r="F10" s="78">
        <v>10701</v>
      </c>
      <c r="G10" s="79">
        <v>12</v>
      </c>
      <c r="H10" s="78">
        <v>9554.4642857142844</v>
      </c>
      <c r="I10" s="78">
        <v>127.39285714285714</v>
      </c>
      <c r="J10" s="57"/>
      <c r="K10" s="80"/>
      <c r="L10" s="68" t="s">
        <v>370</v>
      </c>
      <c r="M10" s="68" t="s">
        <v>366</v>
      </c>
      <c r="N10" s="68">
        <v>6</v>
      </c>
      <c r="O10" s="61">
        <f t="shared" si="0"/>
        <v>64.989999999999995</v>
      </c>
      <c r="P10" s="61">
        <v>389.94</v>
      </c>
      <c r="Q10" s="81">
        <v>600</v>
      </c>
      <c r="R10" s="67">
        <v>12</v>
      </c>
      <c r="S10" s="81">
        <f>ROUND(+Q10/1.12,2)+0.01</f>
        <v>535.72</v>
      </c>
      <c r="T10" s="81">
        <f t="shared" si="1"/>
        <v>100</v>
      </c>
    </row>
    <row r="11" spans="1:22" ht="14.5" x14ac:dyDescent="0.35">
      <c r="A11" s="74" t="s">
        <v>371</v>
      </c>
      <c r="B11" s="125"/>
      <c r="C11" s="125"/>
      <c r="D11" s="126"/>
      <c r="E11" s="61">
        <v>11655.329999999998</v>
      </c>
      <c r="F11" s="78">
        <v>39531</v>
      </c>
      <c r="G11" s="125"/>
      <c r="H11" s="78">
        <v>33467.244687131053</v>
      </c>
      <c r="I11" s="127"/>
      <c r="J11" s="71"/>
      <c r="K11" s="80"/>
      <c r="L11" s="68" t="s">
        <v>372</v>
      </c>
      <c r="M11" s="68" t="s">
        <v>366</v>
      </c>
      <c r="N11" s="68">
        <v>50</v>
      </c>
      <c r="O11" s="61">
        <f>+P11/N11</f>
        <v>95.1768</v>
      </c>
      <c r="P11" s="61">
        <v>4758.84</v>
      </c>
      <c r="Q11" s="81">
        <v>6686</v>
      </c>
      <c r="R11" s="67">
        <v>12</v>
      </c>
      <c r="S11" s="81">
        <f>ROUND(+Q11/1.12,2)</f>
        <v>5969.64</v>
      </c>
      <c r="T11" s="81">
        <f t="shared" si="1"/>
        <v>133.72</v>
      </c>
    </row>
    <row r="12" spans="1:22" ht="14.5" x14ac:dyDescent="0.35">
      <c r="A12" s="60" t="s">
        <v>373</v>
      </c>
      <c r="B12" s="60" t="s">
        <v>366</v>
      </c>
      <c r="C12" s="60">
        <v>21</v>
      </c>
      <c r="D12" s="62">
        <v>3.75</v>
      </c>
      <c r="E12" s="61">
        <v>78.75</v>
      </c>
      <c r="F12" s="78">
        <v>630</v>
      </c>
      <c r="G12" s="79">
        <v>12</v>
      </c>
      <c r="H12" s="78">
        <v>562.5</v>
      </c>
      <c r="I12" s="78">
        <v>30</v>
      </c>
      <c r="J12" s="71"/>
      <c r="K12" s="80"/>
      <c r="L12" s="73" t="s">
        <v>371</v>
      </c>
      <c r="M12" s="140"/>
      <c r="N12" s="140"/>
      <c r="O12" s="126"/>
      <c r="P12" s="61">
        <f>SUM(P8:P11)</f>
        <v>15177.650000000001</v>
      </c>
      <c r="Q12" s="81">
        <f>SUM(Q8:Q11)</f>
        <v>37966</v>
      </c>
      <c r="R12" s="141"/>
      <c r="S12" s="81">
        <f t="shared" ref="S12" si="3">SUM(S8:S11)</f>
        <v>31860.73</v>
      </c>
      <c r="T12" s="141"/>
      <c r="U12" s="56"/>
      <c r="V12" s="56"/>
    </row>
    <row r="13" spans="1:22" ht="14.5" x14ac:dyDescent="0.35">
      <c r="A13" s="60" t="s">
        <v>374</v>
      </c>
      <c r="B13" s="60" t="s">
        <v>366</v>
      </c>
      <c r="C13" s="60">
        <v>2</v>
      </c>
      <c r="D13" s="62">
        <v>17.36</v>
      </c>
      <c r="E13" s="61">
        <v>34.72</v>
      </c>
      <c r="F13" s="78">
        <v>70</v>
      </c>
      <c r="G13" s="79">
        <v>12</v>
      </c>
      <c r="H13" s="78">
        <v>62.499999999999993</v>
      </c>
      <c r="I13" s="78">
        <v>35</v>
      </c>
      <c r="J13" s="71"/>
      <c r="K13" s="80"/>
      <c r="L13" s="68" t="s">
        <v>375</v>
      </c>
      <c r="M13" s="68" t="s">
        <v>376</v>
      </c>
      <c r="N13" s="68">
        <v>35</v>
      </c>
      <c r="O13" s="61">
        <v>11.41</v>
      </c>
      <c r="P13" s="82">
        <v>399.41</v>
      </c>
      <c r="Q13" s="81">
        <v>1015</v>
      </c>
      <c r="R13" s="67">
        <v>12</v>
      </c>
      <c r="S13" s="81">
        <f t="shared" ref="S13:S19" si="4">ROUND(+Q13/1.12,2)+0.01</f>
        <v>906.26</v>
      </c>
      <c r="T13" s="81">
        <f t="shared" ref="T13:T27" si="5">ROUND(+Q13/N13,2)</f>
        <v>29</v>
      </c>
      <c r="U13" s="56"/>
    </row>
    <row r="14" spans="1:22" ht="14.5" x14ac:dyDescent="0.35">
      <c r="A14" s="60" t="s">
        <v>377</v>
      </c>
      <c r="B14" s="60" t="s">
        <v>366</v>
      </c>
      <c r="C14" s="60">
        <v>6</v>
      </c>
      <c r="D14" s="62">
        <v>3.78</v>
      </c>
      <c r="E14" s="61">
        <v>22.68</v>
      </c>
      <c r="F14" s="78">
        <v>210</v>
      </c>
      <c r="G14" s="79">
        <v>12</v>
      </c>
      <c r="H14" s="78">
        <v>187.49999999999997</v>
      </c>
      <c r="I14" s="78">
        <v>35</v>
      </c>
      <c r="J14" s="57"/>
      <c r="K14" s="80"/>
      <c r="L14" s="68" t="s">
        <v>373</v>
      </c>
      <c r="M14" s="68" t="s">
        <v>366</v>
      </c>
      <c r="N14" s="68">
        <v>4</v>
      </c>
      <c r="O14" s="61">
        <v>3.55</v>
      </c>
      <c r="P14" s="82">
        <v>14.2</v>
      </c>
      <c r="Q14" s="81">
        <v>120</v>
      </c>
      <c r="R14" s="67">
        <v>12</v>
      </c>
      <c r="S14" s="81">
        <f t="shared" si="4"/>
        <v>107.15</v>
      </c>
      <c r="T14" s="81">
        <f t="shared" si="5"/>
        <v>30</v>
      </c>
      <c r="U14" s="56"/>
    </row>
    <row r="15" spans="1:22" ht="14.5" x14ac:dyDescent="0.35">
      <c r="A15" s="60" t="s">
        <v>378</v>
      </c>
      <c r="B15" s="60" t="s">
        <v>366</v>
      </c>
      <c r="C15" s="60">
        <v>2</v>
      </c>
      <c r="D15" s="126"/>
      <c r="E15" s="61">
        <v>0</v>
      </c>
      <c r="F15" s="78">
        <v>44</v>
      </c>
      <c r="G15" s="79">
        <v>12</v>
      </c>
      <c r="H15" s="78">
        <v>39.285714285714285</v>
      </c>
      <c r="I15" s="78">
        <v>22</v>
      </c>
      <c r="J15" s="57"/>
      <c r="K15" s="80"/>
      <c r="L15" s="68" t="s">
        <v>374</v>
      </c>
      <c r="M15" s="68" t="s">
        <v>366</v>
      </c>
      <c r="N15" s="68">
        <v>3</v>
      </c>
      <c r="O15" s="61">
        <v>11.33</v>
      </c>
      <c r="P15" s="82">
        <v>34</v>
      </c>
      <c r="Q15" s="81">
        <v>105</v>
      </c>
      <c r="R15" s="67">
        <v>12</v>
      </c>
      <c r="S15" s="81">
        <f t="shared" si="4"/>
        <v>93.76</v>
      </c>
      <c r="T15" s="81">
        <f t="shared" si="5"/>
        <v>35</v>
      </c>
    </row>
    <row r="16" spans="1:22" ht="14.5" x14ac:dyDescent="0.35">
      <c r="A16" s="60" t="s">
        <v>379</v>
      </c>
      <c r="B16" s="60" t="s">
        <v>366</v>
      </c>
      <c r="C16" s="60">
        <v>38</v>
      </c>
      <c r="D16" s="62">
        <v>0.67</v>
      </c>
      <c r="E16" s="61">
        <v>25.46</v>
      </c>
      <c r="F16" s="78">
        <v>1140</v>
      </c>
      <c r="G16" s="79">
        <v>12</v>
      </c>
      <c r="H16" s="78">
        <v>1017.8571428571428</v>
      </c>
      <c r="I16" s="78">
        <v>30</v>
      </c>
      <c r="J16" s="57"/>
      <c r="K16" s="80"/>
      <c r="L16" s="68" t="s">
        <v>377</v>
      </c>
      <c r="M16" s="68" t="s">
        <v>366</v>
      </c>
      <c r="N16" s="68">
        <v>10</v>
      </c>
      <c r="O16" s="61">
        <v>9.4</v>
      </c>
      <c r="P16" s="82">
        <v>93.98</v>
      </c>
      <c r="Q16" s="81">
        <v>350</v>
      </c>
      <c r="R16" s="67">
        <v>12</v>
      </c>
      <c r="S16" s="81">
        <f t="shared" si="4"/>
        <v>312.51</v>
      </c>
      <c r="T16" s="81">
        <f t="shared" si="5"/>
        <v>35</v>
      </c>
    </row>
    <row r="17" spans="1:21" ht="14.5" x14ac:dyDescent="0.35">
      <c r="A17" s="60" t="s">
        <v>380</v>
      </c>
      <c r="B17" s="60" t="s">
        <v>366</v>
      </c>
      <c r="C17" s="60">
        <v>9.3119999999999994</v>
      </c>
      <c r="D17" s="62">
        <v>70.2</v>
      </c>
      <c r="E17" s="61">
        <v>653.70000000000005</v>
      </c>
      <c r="F17" s="78">
        <v>987</v>
      </c>
      <c r="G17" s="79">
        <v>12</v>
      </c>
      <c r="H17" s="78">
        <v>881.24999999999989</v>
      </c>
      <c r="I17" s="78">
        <v>105.99226804123712</v>
      </c>
      <c r="J17" s="57"/>
      <c r="K17" s="80"/>
      <c r="L17" s="68" t="s">
        <v>378</v>
      </c>
      <c r="M17" s="68" t="s">
        <v>366</v>
      </c>
      <c r="N17" s="68">
        <v>25</v>
      </c>
      <c r="O17" s="61">
        <v>3.98</v>
      </c>
      <c r="P17" s="82">
        <v>99.43</v>
      </c>
      <c r="Q17" s="81">
        <v>550</v>
      </c>
      <c r="R17" s="67">
        <v>12</v>
      </c>
      <c r="S17" s="81">
        <f t="shared" si="4"/>
        <v>491.08</v>
      </c>
      <c r="T17" s="81">
        <f t="shared" si="5"/>
        <v>22</v>
      </c>
    </row>
    <row r="18" spans="1:21" ht="14.5" x14ac:dyDescent="0.35">
      <c r="A18" s="60" t="s">
        <v>381</v>
      </c>
      <c r="B18" s="60" t="s">
        <v>366</v>
      </c>
      <c r="C18" s="60">
        <v>6</v>
      </c>
      <c r="D18" s="62">
        <v>5.74</v>
      </c>
      <c r="E18" s="61">
        <v>34.44</v>
      </c>
      <c r="F18" s="78">
        <v>294</v>
      </c>
      <c r="G18" s="79">
        <v>21</v>
      </c>
      <c r="H18" s="78">
        <v>242.97520661157026</v>
      </c>
      <c r="I18" s="78">
        <v>49</v>
      </c>
      <c r="J18" s="57"/>
      <c r="K18" s="80"/>
      <c r="L18" s="68" t="s">
        <v>379</v>
      </c>
      <c r="M18" s="68" t="s">
        <v>366</v>
      </c>
      <c r="N18" s="68">
        <v>33</v>
      </c>
      <c r="O18" s="61">
        <v>2.15</v>
      </c>
      <c r="P18" s="82">
        <v>70.98</v>
      </c>
      <c r="Q18" s="81">
        <v>990</v>
      </c>
      <c r="R18" s="67">
        <v>12</v>
      </c>
      <c r="S18" s="81">
        <f t="shared" si="4"/>
        <v>883.93999999999994</v>
      </c>
      <c r="T18" s="81">
        <f t="shared" si="5"/>
        <v>30</v>
      </c>
    </row>
    <row r="19" spans="1:21" ht="14.5" x14ac:dyDescent="0.35">
      <c r="A19" s="60" t="s">
        <v>382</v>
      </c>
      <c r="B19" s="60" t="s">
        <v>366</v>
      </c>
      <c r="C19" s="60">
        <v>13</v>
      </c>
      <c r="D19" s="83">
        <v>3.9023076923076898</v>
      </c>
      <c r="E19" s="61">
        <v>50.73</v>
      </c>
      <c r="F19" s="78">
        <v>689</v>
      </c>
      <c r="G19" s="79">
        <v>21</v>
      </c>
      <c r="H19" s="78">
        <v>569.42148760330576</v>
      </c>
      <c r="I19" s="78">
        <v>53</v>
      </c>
      <c r="J19" s="57"/>
      <c r="K19" s="80"/>
      <c r="L19" s="68" t="s">
        <v>380</v>
      </c>
      <c r="M19" s="68" t="s">
        <v>366</v>
      </c>
      <c r="N19" s="68">
        <v>3.33</v>
      </c>
      <c r="O19" s="61">
        <v>40.79</v>
      </c>
      <c r="P19" s="82">
        <v>135.82</v>
      </c>
      <c r="Q19" s="81">
        <v>350</v>
      </c>
      <c r="R19" s="67">
        <v>12</v>
      </c>
      <c r="S19" s="81">
        <f t="shared" si="4"/>
        <v>312.51</v>
      </c>
      <c r="T19" s="81">
        <f t="shared" si="5"/>
        <v>105.11</v>
      </c>
    </row>
    <row r="20" spans="1:21" ht="14.5" x14ac:dyDescent="0.35">
      <c r="A20" s="60" t="s">
        <v>383</v>
      </c>
      <c r="B20" s="60" t="s">
        <v>366</v>
      </c>
      <c r="C20" s="60">
        <v>24</v>
      </c>
      <c r="D20" s="83">
        <v>3.53</v>
      </c>
      <c r="E20" s="61">
        <v>84.72</v>
      </c>
      <c r="F20" s="78">
        <v>1080</v>
      </c>
      <c r="G20" s="79">
        <v>21</v>
      </c>
      <c r="H20" s="78">
        <v>892.56198347107443</v>
      </c>
      <c r="I20" s="78">
        <v>45</v>
      </c>
      <c r="J20" s="57"/>
      <c r="K20" s="80"/>
      <c r="L20" s="68" t="s">
        <v>381</v>
      </c>
      <c r="M20" s="68" t="s">
        <v>366</v>
      </c>
      <c r="N20" s="68">
        <v>40</v>
      </c>
      <c r="O20" s="61">
        <v>5.64</v>
      </c>
      <c r="P20" s="82">
        <v>225.48</v>
      </c>
      <c r="Q20" s="81">
        <v>1960</v>
      </c>
      <c r="R20" s="67">
        <v>21</v>
      </c>
      <c r="S20" s="81">
        <f t="shared" ref="S20:S27" si="6">ROUND(+Q20/1.21,2)</f>
        <v>1619.83</v>
      </c>
      <c r="T20" s="81">
        <f t="shared" si="5"/>
        <v>49</v>
      </c>
    </row>
    <row r="21" spans="1:21" ht="14.5" x14ac:dyDescent="0.35">
      <c r="A21" s="60" t="s">
        <v>384</v>
      </c>
      <c r="B21" s="60" t="s">
        <v>366</v>
      </c>
      <c r="C21" s="60">
        <v>2</v>
      </c>
      <c r="D21" s="83">
        <v>6.2350000000000003</v>
      </c>
      <c r="E21" s="61">
        <v>12.47</v>
      </c>
      <c r="F21" s="78">
        <v>138</v>
      </c>
      <c r="G21" s="79">
        <v>21</v>
      </c>
      <c r="H21" s="78">
        <v>114.04958677685951</v>
      </c>
      <c r="I21" s="78">
        <v>69</v>
      </c>
      <c r="J21" s="57"/>
      <c r="K21" s="80"/>
      <c r="L21" s="68" t="s">
        <v>382</v>
      </c>
      <c r="M21" s="68" t="s">
        <v>366</v>
      </c>
      <c r="N21" s="68">
        <v>31</v>
      </c>
      <c r="O21" s="61">
        <v>6.42</v>
      </c>
      <c r="P21" s="82">
        <v>198.99</v>
      </c>
      <c r="Q21" s="81">
        <v>1643</v>
      </c>
      <c r="R21" s="67">
        <v>21</v>
      </c>
      <c r="S21" s="81">
        <f>ROUND(+Q21/1.21,2)-0.05</f>
        <v>1357.8</v>
      </c>
      <c r="T21" s="81">
        <f t="shared" si="5"/>
        <v>53</v>
      </c>
    </row>
    <row r="22" spans="1:21" ht="14.5" x14ac:dyDescent="0.35">
      <c r="A22" s="60" t="s">
        <v>385</v>
      </c>
      <c r="B22" s="60" t="s">
        <v>366</v>
      </c>
      <c r="C22" s="60">
        <v>3</v>
      </c>
      <c r="D22" s="83">
        <v>3.87333333333333</v>
      </c>
      <c r="E22" s="61">
        <v>11.62</v>
      </c>
      <c r="F22" s="78">
        <v>135</v>
      </c>
      <c r="G22" s="79">
        <v>21</v>
      </c>
      <c r="H22" s="78">
        <v>111.5702479338843</v>
      </c>
      <c r="I22" s="78">
        <v>45</v>
      </c>
      <c r="J22" s="57"/>
      <c r="K22" s="80"/>
      <c r="L22" s="68" t="s">
        <v>383</v>
      </c>
      <c r="M22" s="68" t="s">
        <v>366</v>
      </c>
      <c r="N22" s="68">
        <v>29</v>
      </c>
      <c r="O22" s="61">
        <v>4.66</v>
      </c>
      <c r="P22" s="82">
        <v>135.28</v>
      </c>
      <c r="Q22" s="81">
        <v>1305</v>
      </c>
      <c r="R22" s="67">
        <v>21</v>
      </c>
      <c r="S22" s="81">
        <f t="shared" si="6"/>
        <v>1078.51</v>
      </c>
      <c r="T22" s="81">
        <f t="shared" si="5"/>
        <v>45</v>
      </c>
    </row>
    <row r="23" spans="1:21" ht="14.5" x14ac:dyDescent="0.35">
      <c r="A23" s="60" t="s">
        <v>386</v>
      </c>
      <c r="B23" s="60" t="s">
        <v>366</v>
      </c>
      <c r="C23" s="60">
        <v>9</v>
      </c>
      <c r="D23" s="83">
        <v>4.09</v>
      </c>
      <c r="E23" s="61">
        <v>36.81</v>
      </c>
      <c r="F23" s="78">
        <v>405</v>
      </c>
      <c r="G23" s="79">
        <v>21</v>
      </c>
      <c r="H23" s="78">
        <v>334.71074380165288</v>
      </c>
      <c r="I23" s="78">
        <v>45</v>
      </c>
      <c r="J23" s="57"/>
      <c r="K23" s="80"/>
      <c r="L23" s="68" t="s">
        <v>384</v>
      </c>
      <c r="M23" s="68" t="s">
        <v>366</v>
      </c>
      <c r="N23" s="68">
        <v>1</v>
      </c>
      <c r="O23" s="61">
        <v>15.33</v>
      </c>
      <c r="P23" s="82">
        <v>15.33</v>
      </c>
      <c r="Q23" s="81">
        <v>69</v>
      </c>
      <c r="R23" s="67">
        <v>21</v>
      </c>
      <c r="S23" s="81">
        <f t="shared" si="6"/>
        <v>57.02</v>
      </c>
      <c r="T23" s="81">
        <f t="shared" si="5"/>
        <v>69</v>
      </c>
    </row>
    <row r="24" spans="1:21" ht="14.5" x14ac:dyDescent="0.35">
      <c r="A24" s="60" t="s">
        <v>387</v>
      </c>
      <c r="B24" s="60" t="s">
        <v>366</v>
      </c>
      <c r="C24" s="60">
        <v>13</v>
      </c>
      <c r="D24" s="83">
        <v>4.0869230769230702</v>
      </c>
      <c r="E24" s="61">
        <v>53.13</v>
      </c>
      <c r="F24" s="78">
        <v>637</v>
      </c>
      <c r="G24" s="79">
        <v>21</v>
      </c>
      <c r="H24" s="78">
        <v>526.44628099173553</v>
      </c>
      <c r="I24" s="78">
        <v>49</v>
      </c>
      <c r="J24" s="57"/>
      <c r="K24" s="80"/>
      <c r="L24" s="68" t="s">
        <v>385</v>
      </c>
      <c r="M24" s="68" t="s">
        <v>366</v>
      </c>
      <c r="N24" s="68">
        <v>17</v>
      </c>
      <c r="O24" s="61">
        <v>8.42</v>
      </c>
      <c r="P24" s="82">
        <v>143.07</v>
      </c>
      <c r="Q24" s="81">
        <v>765</v>
      </c>
      <c r="R24" s="67">
        <v>21</v>
      </c>
      <c r="S24" s="81">
        <f t="shared" si="6"/>
        <v>632.23</v>
      </c>
      <c r="T24" s="81">
        <f t="shared" si="5"/>
        <v>45</v>
      </c>
    </row>
    <row r="25" spans="1:21" ht="14.5" x14ac:dyDescent="0.35">
      <c r="A25" s="74" t="s">
        <v>388</v>
      </c>
      <c r="B25" s="125"/>
      <c r="C25" s="125"/>
      <c r="D25" s="128"/>
      <c r="E25" s="61">
        <f>SUM(E12:E24)</f>
        <v>1099.2300000000002</v>
      </c>
      <c r="F25" s="78">
        <f>SUM(F12:F24)</f>
        <v>6459</v>
      </c>
      <c r="G25" s="139"/>
      <c r="H25" s="78">
        <f>SUM(H12:H24)</f>
        <v>5542.6283943329399</v>
      </c>
      <c r="I25" s="127"/>
      <c r="J25" s="71"/>
      <c r="K25" s="80"/>
      <c r="L25" s="68" t="s">
        <v>386</v>
      </c>
      <c r="M25" s="68" t="s">
        <v>366</v>
      </c>
      <c r="N25" s="68">
        <v>20</v>
      </c>
      <c r="O25" s="61">
        <v>4.5599999999999996</v>
      </c>
      <c r="P25" s="82">
        <v>91.11</v>
      </c>
      <c r="Q25" s="81">
        <v>900</v>
      </c>
      <c r="R25" s="67">
        <v>21</v>
      </c>
      <c r="S25" s="81">
        <f t="shared" si="6"/>
        <v>743.8</v>
      </c>
      <c r="T25" s="81">
        <f t="shared" si="5"/>
        <v>45</v>
      </c>
    </row>
    <row r="26" spans="1:21" ht="14.5" x14ac:dyDescent="0.35">
      <c r="A26" s="60" t="s">
        <v>389</v>
      </c>
      <c r="B26" s="60" t="s">
        <v>376</v>
      </c>
      <c r="C26" s="60">
        <v>20</v>
      </c>
      <c r="D26" s="83">
        <v>14.381</v>
      </c>
      <c r="E26" s="61">
        <v>287.62</v>
      </c>
      <c r="F26" s="78">
        <v>800</v>
      </c>
      <c r="G26" s="79">
        <v>21</v>
      </c>
      <c r="H26" s="78">
        <v>661.15702479338847</v>
      </c>
      <c r="I26" s="78">
        <v>40</v>
      </c>
      <c r="J26" s="57"/>
      <c r="K26" s="80"/>
      <c r="L26" s="68" t="s">
        <v>387</v>
      </c>
      <c r="M26" s="68" t="s">
        <v>366</v>
      </c>
      <c r="N26" s="68">
        <v>3</v>
      </c>
      <c r="O26" s="61">
        <v>5.21</v>
      </c>
      <c r="P26" s="82">
        <v>15.62</v>
      </c>
      <c r="Q26" s="81">
        <v>147</v>
      </c>
      <c r="R26" s="67">
        <v>21</v>
      </c>
      <c r="S26" s="81">
        <f t="shared" si="6"/>
        <v>121.49</v>
      </c>
      <c r="T26" s="81">
        <f t="shared" si="5"/>
        <v>49</v>
      </c>
    </row>
    <row r="27" spans="1:21" ht="14.5" x14ac:dyDescent="0.35">
      <c r="A27" s="60" t="s">
        <v>390</v>
      </c>
      <c r="B27" s="60" t="s">
        <v>376</v>
      </c>
      <c r="C27" s="60">
        <v>32</v>
      </c>
      <c r="D27" s="83">
        <v>13.1128125</v>
      </c>
      <c r="E27" s="61">
        <v>419.61</v>
      </c>
      <c r="F27" s="78">
        <v>1280</v>
      </c>
      <c r="G27" s="79">
        <v>21</v>
      </c>
      <c r="H27" s="78">
        <v>1057.8512396694216</v>
      </c>
      <c r="I27" s="78">
        <v>40</v>
      </c>
      <c r="J27" s="57"/>
      <c r="K27" s="80"/>
      <c r="L27" s="68" t="s">
        <v>391</v>
      </c>
      <c r="M27" s="68" t="s">
        <v>366</v>
      </c>
      <c r="N27" s="68">
        <v>2</v>
      </c>
      <c r="O27" s="61">
        <v>7.35</v>
      </c>
      <c r="P27" s="82">
        <v>14.7</v>
      </c>
      <c r="Q27" s="81">
        <v>112</v>
      </c>
      <c r="R27" s="67">
        <v>21</v>
      </c>
      <c r="S27" s="81">
        <f t="shared" si="6"/>
        <v>92.56</v>
      </c>
      <c r="T27" s="81">
        <f t="shared" si="5"/>
        <v>56</v>
      </c>
    </row>
    <row r="28" spans="1:21" ht="14.5" x14ac:dyDescent="0.35">
      <c r="A28" s="60" t="s">
        <v>392</v>
      </c>
      <c r="B28" s="60" t="s">
        <v>376</v>
      </c>
      <c r="C28" s="60">
        <v>10</v>
      </c>
      <c r="D28" s="83">
        <v>12.97</v>
      </c>
      <c r="E28" s="61">
        <v>129.69999999999999</v>
      </c>
      <c r="F28" s="78">
        <v>400</v>
      </c>
      <c r="G28" s="79">
        <v>21</v>
      </c>
      <c r="H28" s="78">
        <v>330.57851239669424</v>
      </c>
      <c r="I28" s="78">
        <v>40</v>
      </c>
      <c r="J28" s="57"/>
      <c r="K28" s="80"/>
      <c r="L28" s="73" t="s">
        <v>388</v>
      </c>
      <c r="M28" s="140"/>
      <c r="N28" s="140"/>
      <c r="O28" s="126"/>
      <c r="P28" s="82">
        <f>SUM(P13:P27)</f>
        <v>1687.3999999999996</v>
      </c>
      <c r="Q28" s="82">
        <f t="shared" ref="Q28:S28" si="7">SUM(Q13:Q27)</f>
        <v>10381</v>
      </c>
      <c r="R28" s="128"/>
      <c r="S28" s="82">
        <f t="shared" si="7"/>
        <v>8810.4499999999989</v>
      </c>
      <c r="T28" s="141"/>
      <c r="U28" s="56"/>
    </row>
    <row r="29" spans="1:21" ht="14.5" x14ac:dyDescent="0.35">
      <c r="A29" s="60" t="s">
        <v>393</v>
      </c>
      <c r="B29" s="60" t="s">
        <v>376</v>
      </c>
      <c r="C29" s="60">
        <v>19</v>
      </c>
      <c r="D29" s="83">
        <v>4.63894736842105</v>
      </c>
      <c r="E29" s="61">
        <v>88.14</v>
      </c>
      <c r="F29" s="78">
        <v>475</v>
      </c>
      <c r="G29" s="79">
        <v>21</v>
      </c>
      <c r="H29" s="78">
        <v>392.56198347107437</v>
      </c>
      <c r="I29" s="78">
        <v>25</v>
      </c>
      <c r="J29" s="57"/>
      <c r="K29" s="80"/>
      <c r="L29" s="68" t="s">
        <v>394</v>
      </c>
      <c r="M29" s="68" t="s">
        <v>395</v>
      </c>
      <c r="N29" s="68">
        <v>0.156</v>
      </c>
      <c r="O29" s="61">
        <v>228.97</v>
      </c>
      <c r="P29" s="82">
        <v>35.72</v>
      </c>
      <c r="Q29" s="81">
        <v>50</v>
      </c>
      <c r="R29" s="67">
        <v>12</v>
      </c>
      <c r="S29" s="81">
        <f>ROUND(+Q29/1.12,2)+0.01</f>
        <v>44.65</v>
      </c>
      <c r="T29" s="81">
        <f>ROUND(+Q29/N29,2)</f>
        <v>320.51</v>
      </c>
    </row>
    <row r="30" spans="1:21" ht="14.5" x14ac:dyDescent="0.35">
      <c r="A30" s="60" t="s">
        <v>396</v>
      </c>
      <c r="B30" s="60" t="s">
        <v>376</v>
      </c>
      <c r="C30" s="60">
        <v>4</v>
      </c>
      <c r="D30" s="83">
        <v>13.8</v>
      </c>
      <c r="E30" s="61">
        <v>55.2</v>
      </c>
      <c r="F30" s="78">
        <v>160</v>
      </c>
      <c r="G30" s="79">
        <v>21</v>
      </c>
      <c r="H30" s="78">
        <v>132.2314049586777</v>
      </c>
      <c r="I30" s="78">
        <v>40</v>
      </c>
      <c r="J30" s="57"/>
      <c r="K30" s="80"/>
      <c r="L30" s="68" t="s">
        <v>389</v>
      </c>
      <c r="M30" s="68" t="s">
        <v>376</v>
      </c>
      <c r="N30" s="68">
        <v>12</v>
      </c>
      <c r="O30" s="61">
        <v>13.8</v>
      </c>
      <c r="P30" s="82">
        <v>165.6</v>
      </c>
      <c r="Q30" s="81">
        <v>480</v>
      </c>
      <c r="R30" s="67">
        <v>21</v>
      </c>
      <c r="S30" s="81">
        <f t="shared" ref="S30" si="8">ROUND(+Q30/1.21,2)</f>
        <v>396.69</v>
      </c>
      <c r="T30" s="81">
        <f t="shared" ref="T30:T65" si="9">ROUND(+Q30/N30,2)</f>
        <v>40</v>
      </c>
    </row>
    <row r="31" spans="1:21" ht="14.5" x14ac:dyDescent="0.35">
      <c r="A31" s="121" t="s">
        <v>397</v>
      </c>
      <c r="B31" s="121" t="s">
        <v>366</v>
      </c>
      <c r="C31" s="121">
        <v>49</v>
      </c>
      <c r="D31" s="122">
        <v>10.43</v>
      </c>
      <c r="E31" s="122">
        <v>511.07</v>
      </c>
      <c r="F31" s="123">
        <v>980</v>
      </c>
      <c r="G31" s="124">
        <v>21</v>
      </c>
      <c r="H31" s="123">
        <v>809.91735537190084</v>
      </c>
      <c r="I31" s="123">
        <v>20</v>
      </c>
      <c r="J31" s="76" t="s">
        <v>398</v>
      </c>
      <c r="K31" s="80"/>
      <c r="L31" s="68" t="s">
        <v>399</v>
      </c>
      <c r="M31" s="68" t="s">
        <v>376</v>
      </c>
      <c r="N31" s="68">
        <v>8</v>
      </c>
      <c r="O31" s="61">
        <v>16.420000000000002</v>
      </c>
      <c r="P31" s="82">
        <v>131.32</v>
      </c>
      <c r="Q31" s="81">
        <v>200</v>
      </c>
      <c r="R31" s="67">
        <v>12</v>
      </c>
      <c r="S31" s="81">
        <f>ROUND(+Q31/1.12,2)+0.01</f>
        <v>178.57999999999998</v>
      </c>
      <c r="T31" s="81">
        <f t="shared" si="9"/>
        <v>25</v>
      </c>
    </row>
    <row r="32" spans="1:21" ht="14.5" x14ac:dyDescent="0.35">
      <c r="A32" s="121" t="s">
        <v>400</v>
      </c>
      <c r="B32" s="121" t="s">
        <v>366</v>
      </c>
      <c r="C32" s="121">
        <v>463</v>
      </c>
      <c r="D32" s="122">
        <v>5.8</v>
      </c>
      <c r="E32" s="122">
        <v>2685.4</v>
      </c>
      <c r="F32" s="123">
        <v>16205</v>
      </c>
      <c r="G32" s="124">
        <v>21</v>
      </c>
      <c r="H32" s="123">
        <v>13392.561983471074</v>
      </c>
      <c r="I32" s="123">
        <v>35</v>
      </c>
      <c r="J32" s="76" t="s">
        <v>398</v>
      </c>
      <c r="K32" s="80"/>
      <c r="L32" s="68" t="s">
        <v>390</v>
      </c>
      <c r="M32" s="68" t="s">
        <v>376</v>
      </c>
      <c r="N32" s="68">
        <v>21</v>
      </c>
      <c r="O32" s="61">
        <v>12.6</v>
      </c>
      <c r="P32" s="82">
        <v>264.60000000000002</v>
      </c>
      <c r="Q32" s="81">
        <v>840</v>
      </c>
      <c r="R32" s="67">
        <v>21</v>
      </c>
      <c r="S32" s="81">
        <f t="shared" ref="S32" si="10">ROUND(+Q32/1.21,2)</f>
        <v>694.21</v>
      </c>
      <c r="T32" s="81">
        <f t="shared" si="9"/>
        <v>40</v>
      </c>
    </row>
    <row r="33" spans="1:20" ht="14.5" x14ac:dyDescent="0.35">
      <c r="A33" s="121" t="s">
        <v>401</v>
      </c>
      <c r="B33" s="121" t="s">
        <v>366</v>
      </c>
      <c r="C33" s="121">
        <v>54</v>
      </c>
      <c r="D33" s="122">
        <v>12.120185185185186</v>
      </c>
      <c r="E33" s="122">
        <v>654.49</v>
      </c>
      <c r="F33" s="123">
        <v>2430</v>
      </c>
      <c r="G33" s="124">
        <v>21</v>
      </c>
      <c r="H33" s="123">
        <v>2008.2644628099174</v>
      </c>
      <c r="I33" s="123">
        <v>45</v>
      </c>
      <c r="J33" s="76" t="s">
        <v>398</v>
      </c>
      <c r="K33" s="80"/>
      <c r="L33" s="68" t="s">
        <v>402</v>
      </c>
      <c r="M33" s="68" t="s">
        <v>395</v>
      </c>
      <c r="N33" s="68">
        <v>1.19</v>
      </c>
      <c r="O33" s="61">
        <v>199</v>
      </c>
      <c r="P33" s="82">
        <v>236.81</v>
      </c>
      <c r="Q33" s="81">
        <v>357</v>
      </c>
      <c r="R33" s="67">
        <v>12</v>
      </c>
      <c r="S33" s="81">
        <f>ROUND(+Q33/1.12,2)+0.01</f>
        <v>318.76</v>
      </c>
      <c r="T33" s="81">
        <f t="shared" si="9"/>
        <v>300</v>
      </c>
    </row>
    <row r="34" spans="1:20" ht="14.5" x14ac:dyDescent="0.35">
      <c r="A34" s="121" t="s">
        <v>403</v>
      </c>
      <c r="B34" s="121" t="s">
        <v>366</v>
      </c>
      <c r="C34" s="121">
        <v>1307</v>
      </c>
      <c r="D34" s="122">
        <v>8.032203519510329</v>
      </c>
      <c r="E34" s="122">
        <v>10498.09</v>
      </c>
      <c r="F34" s="123">
        <v>32675</v>
      </c>
      <c r="G34" s="124">
        <v>21</v>
      </c>
      <c r="H34" s="123">
        <v>27004.132231404961</v>
      </c>
      <c r="I34" s="123">
        <v>25</v>
      </c>
      <c r="J34" s="76" t="s">
        <v>398</v>
      </c>
      <c r="K34" s="80"/>
      <c r="L34" s="68" t="s">
        <v>392</v>
      </c>
      <c r="M34" s="68" t="s">
        <v>376</v>
      </c>
      <c r="N34" s="68">
        <v>10</v>
      </c>
      <c r="O34" s="61">
        <v>12.6</v>
      </c>
      <c r="P34" s="82">
        <v>126</v>
      </c>
      <c r="Q34" s="81">
        <v>400</v>
      </c>
      <c r="R34" s="67">
        <v>21</v>
      </c>
      <c r="S34" s="81">
        <f t="shared" ref="S34" si="11">ROUND(+Q34/1.21,2)</f>
        <v>330.58</v>
      </c>
      <c r="T34" s="81">
        <f t="shared" si="9"/>
        <v>40</v>
      </c>
    </row>
    <row r="35" spans="1:20" ht="14.5" x14ac:dyDescent="0.35">
      <c r="A35" s="60" t="s">
        <v>394</v>
      </c>
      <c r="B35" s="60" t="s">
        <v>395</v>
      </c>
      <c r="C35" s="60">
        <v>0.12</v>
      </c>
      <c r="D35" s="83">
        <v>234.66666666666663</v>
      </c>
      <c r="E35" s="61">
        <v>28.16</v>
      </c>
      <c r="F35" s="78">
        <v>38</v>
      </c>
      <c r="G35" s="79">
        <v>12</v>
      </c>
      <c r="H35" s="78">
        <v>33.928571428571423</v>
      </c>
      <c r="I35" s="78">
        <v>316.66666666666669</v>
      </c>
      <c r="J35" s="57"/>
      <c r="K35" s="80"/>
      <c r="L35" s="68" t="s">
        <v>404</v>
      </c>
      <c r="M35" s="68" t="s">
        <v>395</v>
      </c>
      <c r="N35" s="68">
        <v>7.3999999999999996E-2</v>
      </c>
      <c r="O35" s="61">
        <v>399.05</v>
      </c>
      <c r="P35" s="82">
        <v>29.53</v>
      </c>
      <c r="Q35" s="81">
        <v>41</v>
      </c>
      <c r="R35" s="67">
        <v>12</v>
      </c>
      <c r="S35" s="81">
        <f t="shared" ref="S35:S37" si="12">ROUND(+Q35/1.12,2)+0.01</f>
        <v>36.619999999999997</v>
      </c>
      <c r="T35" s="81">
        <f t="shared" si="9"/>
        <v>554.04999999999995</v>
      </c>
    </row>
    <row r="36" spans="1:20" ht="14.5" x14ac:dyDescent="0.35">
      <c r="A36" s="60" t="s">
        <v>405</v>
      </c>
      <c r="B36" s="60" t="s">
        <v>366</v>
      </c>
      <c r="C36" s="60">
        <v>8</v>
      </c>
      <c r="D36" s="83">
        <v>13.41</v>
      </c>
      <c r="E36" s="61">
        <v>107.28</v>
      </c>
      <c r="F36" s="78">
        <v>192</v>
      </c>
      <c r="G36" s="79">
        <v>12</v>
      </c>
      <c r="H36" s="78">
        <v>171.42857142857142</v>
      </c>
      <c r="I36" s="78">
        <v>24</v>
      </c>
      <c r="J36" s="57"/>
      <c r="K36" s="80"/>
      <c r="L36" s="68" t="s">
        <v>406</v>
      </c>
      <c r="M36" s="68" t="s">
        <v>395</v>
      </c>
      <c r="N36" s="68">
        <v>2.0339999999999998</v>
      </c>
      <c r="O36" s="61">
        <v>199</v>
      </c>
      <c r="P36" s="82">
        <v>404.77</v>
      </c>
      <c r="Q36" s="81">
        <v>570</v>
      </c>
      <c r="R36" s="67">
        <v>12</v>
      </c>
      <c r="S36" s="81">
        <f>ROUND(+Q36/1.12,2)+0.01-0.49</f>
        <v>508.45</v>
      </c>
      <c r="T36" s="81">
        <f t="shared" si="9"/>
        <v>280.24</v>
      </c>
    </row>
    <row r="37" spans="1:20" ht="14.5" x14ac:dyDescent="0.35">
      <c r="A37" s="60" t="s">
        <v>399</v>
      </c>
      <c r="B37" s="60" t="s">
        <v>376</v>
      </c>
      <c r="C37" s="60">
        <v>17</v>
      </c>
      <c r="D37" s="83">
        <v>49.006470588235295</v>
      </c>
      <c r="E37" s="61">
        <v>833.11</v>
      </c>
      <c r="F37" s="78">
        <v>425</v>
      </c>
      <c r="G37" s="79">
        <v>12</v>
      </c>
      <c r="H37" s="78">
        <v>379.46428571428567</v>
      </c>
      <c r="I37" s="78">
        <v>25</v>
      </c>
      <c r="J37" s="57"/>
      <c r="K37" s="80"/>
      <c r="L37" s="68" t="s">
        <v>407</v>
      </c>
      <c r="M37" s="68" t="s">
        <v>376</v>
      </c>
      <c r="N37" s="68">
        <v>2</v>
      </c>
      <c r="O37" s="61">
        <v>0.78</v>
      </c>
      <c r="P37" s="82">
        <v>1.56</v>
      </c>
      <c r="Q37" s="81">
        <v>4</v>
      </c>
      <c r="R37" s="67">
        <v>12</v>
      </c>
      <c r="S37" s="81">
        <f t="shared" si="12"/>
        <v>3.5799999999999996</v>
      </c>
      <c r="T37" s="81">
        <f t="shared" si="9"/>
        <v>2</v>
      </c>
    </row>
    <row r="38" spans="1:20" ht="14.5" x14ac:dyDescent="0.35">
      <c r="A38" s="60" t="s">
        <v>402</v>
      </c>
      <c r="B38" s="60" t="s">
        <v>395</v>
      </c>
      <c r="C38" s="60">
        <v>0.85</v>
      </c>
      <c r="D38" s="83">
        <v>210.62352941176471</v>
      </c>
      <c r="E38" s="61">
        <v>179.03</v>
      </c>
      <c r="F38" s="78">
        <v>238</v>
      </c>
      <c r="G38" s="79">
        <v>12</v>
      </c>
      <c r="H38" s="78">
        <v>212.49999999999997</v>
      </c>
      <c r="I38" s="78">
        <v>280</v>
      </c>
      <c r="J38" s="57"/>
      <c r="K38" s="80"/>
      <c r="L38" s="68" t="s">
        <v>408</v>
      </c>
      <c r="M38" s="68" t="s">
        <v>376</v>
      </c>
      <c r="N38" s="68">
        <v>41</v>
      </c>
      <c r="O38" s="61">
        <v>9.8800000000000008</v>
      </c>
      <c r="P38" s="82">
        <v>405.24</v>
      </c>
      <c r="Q38" s="81">
        <v>820</v>
      </c>
      <c r="R38" s="67">
        <v>21</v>
      </c>
      <c r="S38" s="81">
        <f t="shared" ref="S38:S46" si="13">ROUND(+Q38/1.21,2)</f>
        <v>677.69</v>
      </c>
      <c r="T38" s="81">
        <f t="shared" si="9"/>
        <v>20</v>
      </c>
    </row>
    <row r="39" spans="1:20" ht="14.5" x14ac:dyDescent="0.35">
      <c r="A39" s="60" t="s">
        <v>409</v>
      </c>
      <c r="B39" s="60" t="s">
        <v>376</v>
      </c>
      <c r="C39" s="60">
        <v>17</v>
      </c>
      <c r="D39" s="83">
        <v>12.891176470588229</v>
      </c>
      <c r="E39" s="61">
        <v>219.15</v>
      </c>
      <c r="F39" s="78">
        <v>340</v>
      </c>
      <c r="G39" s="79">
        <v>12</v>
      </c>
      <c r="H39" s="78">
        <v>303.57142857142856</v>
      </c>
      <c r="I39" s="78">
        <v>20</v>
      </c>
      <c r="J39" s="57"/>
      <c r="K39" s="80"/>
      <c r="L39" s="68" t="s">
        <v>410</v>
      </c>
      <c r="M39" s="68" t="s">
        <v>366</v>
      </c>
      <c r="N39" s="68">
        <v>32</v>
      </c>
      <c r="O39" s="61">
        <v>12.9</v>
      </c>
      <c r="P39" s="82">
        <v>412.85</v>
      </c>
      <c r="Q39" s="81">
        <v>800</v>
      </c>
      <c r="R39" s="67">
        <v>21</v>
      </c>
      <c r="S39" s="81">
        <f t="shared" si="13"/>
        <v>661.16</v>
      </c>
      <c r="T39" s="81">
        <f t="shared" si="9"/>
        <v>25</v>
      </c>
    </row>
    <row r="40" spans="1:20" ht="14.5" x14ac:dyDescent="0.35">
      <c r="A40" s="60" t="s">
        <v>406</v>
      </c>
      <c r="B40" s="60" t="s">
        <v>395</v>
      </c>
      <c r="C40" s="60">
        <v>0.2</v>
      </c>
      <c r="D40" s="83">
        <v>212.55</v>
      </c>
      <c r="E40" s="61">
        <v>42.51</v>
      </c>
      <c r="F40" s="78">
        <v>56</v>
      </c>
      <c r="G40" s="79">
        <v>12</v>
      </c>
      <c r="H40" s="78">
        <v>49.999999999999993</v>
      </c>
      <c r="I40" s="78">
        <v>280</v>
      </c>
      <c r="J40" s="57"/>
      <c r="K40" s="80"/>
      <c r="L40" s="68" t="s">
        <v>411</v>
      </c>
      <c r="M40" s="68" t="s">
        <v>376</v>
      </c>
      <c r="N40" s="68">
        <v>112</v>
      </c>
      <c r="O40" s="61">
        <v>52.15</v>
      </c>
      <c r="P40" s="82">
        <v>5840.59</v>
      </c>
      <c r="Q40" s="81">
        <v>13440</v>
      </c>
      <c r="R40" s="67">
        <v>21</v>
      </c>
      <c r="S40" s="81">
        <f t="shared" si="13"/>
        <v>11107.44</v>
      </c>
      <c r="T40" s="81">
        <f t="shared" si="9"/>
        <v>120</v>
      </c>
    </row>
    <row r="41" spans="1:20" ht="14.5" x14ac:dyDescent="0.35">
      <c r="A41" s="60" t="s">
        <v>412</v>
      </c>
      <c r="B41" s="60" t="s">
        <v>395</v>
      </c>
      <c r="C41" s="60">
        <v>0.77800000000000002</v>
      </c>
      <c r="D41" s="83">
        <v>178.99742930591259</v>
      </c>
      <c r="E41" s="61">
        <v>139.26</v>
      </c>
      <c r="F41" s="78">
        <v>217</v>
      </c>
      <c r="G41" s="79">
        <v>12</v>
      </c>
      <c r="H41" s="78">
        <v>193.74999999999997</v>
      </c>
      <c r="I41" s="78">
        <v>278.92030848329046</v>
      </c>
      <c r="J41" s="57"/>
      <c r="K41" s="80"/>
      <c r="L41" s="68" t="s">
        <v>413</v>
      </c>
      <c r="M41" s="68" t="s">
        <v>376</v>
      </c>
      <c r="N41" s="68">
        <v>93</v>
      </c>
      <c r="O41" s="61">
        <v>49</v>
      </c>
      <c r="P41" s="82">
        <v>4557</v>
      </c>
      <c r="Q41" s="81">
        <v>20460</v>
      </c>
      <c r="R41" s="67">
        <v>21</v>
      </c>
      <c r="S41" s="81">
        <f t="shared" si="13"/>
        <v>16909.09</v>
      </c>
      <c r="T41" s="81">
        <f t="shared" si="9"/>
        <v>220</v>
      </c>
    </row>
    <row r="42" spans="1:20" ht="14.5" x14ac:dyDescent="0.35">
      <c r="A42" s="60" t="s">
        <v>414</v>
      </c>
      <c r="B42" s="60" t="s">
        <v>395</v>
      </c>
      <c r="C42" s="60">
        <v>0.45</v>
      </c>
      <c r="D42" s="83">
        <v>199</v>
      </c>
      <c r="E42" s="61">
        <v>89.55</v>
      </c>
      <c r="F42" s="78">
        <v>126</v>
      </c>
      <c r="G42" s="79">
        <v>12</v>
      </c>
      <c r="H42" s="78">
        <v>112.49999999999999</v>
      </c>
      <c r="I42" s="78">
        <v>280</v>
      </c>
      <c r="J42" s="57"/>
      <c r="K42" s="80"/>
      <c r="L42" s="68" t="s">
        <v>415</v>
      </c>
      <c r="M42" s="68" t="s">
        <v>376</v>
      </c>
      <c r="N42" s="68">
        <v>154</v>
      </c>
      <c r="O42" s="61">
        <v>73.97</v>
      </c>
      <c r="P42" s="82">
        <v>11391.57</v>
      </c>
      <c r="Q42" s="81">
        <v>40040</v>
      </c>
      <c r="R42" s="67">
        <v>21</v>
      </c>
      <c r="S42" s="81">
        <f t="shared" si="13"/>
        <v>33090.910000000003</v>
      </c>
      <c r="T42" s="81">
        <f t="shared" si="9"/>
        <v>260</v>
      </c>
    </row>
    <row r="43" spans="1:20" ht="14.5" x14ac:dyDescent="0.35">
      <c r="A43" s="60" t="s">
        <v>407</v>
      </c>
      <c r="B43" s="60" t="s">
        <v>376</v>
      </c>
      <c r="C43" s="60">
        <v>2</v>
      </c>
      <c r="D43" s="83">
        <v>0.78</v>
      </c>
      <c r="E43" s="61">
        <v>1.56</v>
      </c>
      <c r="F43" s="78">
        <v>4</v>
      </c>
      <c r="G43" s="79">
        <v>12</v>
      </c>
      <c r="H43" s="78">
        <v>3.5714285714285712</v>
      </c>
      <c r="I43" s="78">
        <v>2</v>
      </c>
      <c r="J43" s="57"/>
      <c r="K43" s="80"/>
      <c r="L43" s="68" t="s">
        <v>416</v>
      </c>
      <c r="M43" s="68" t="s">
        <v>376</v>
      </c>
      <c r="N43" s="68">
        <v>556</v>
      </c>
      <c r="O43" s="61">
        <v>49.22</v>
      </c>
      <c r="P43" s="82">
        <v>27364.74</v>
      </c>
      <c r="Q43" s="81">
        <v>88960</v>
      </c>
      <c r="R43" s="67">
        <v>21</v>
      </c>
      <c r="S43" s="81">
        <f t="shared" si="13"/>
        <v>73520.66</v>
      </c>
      <c r="T43" s="81">
        <f t="shared" si="9"/>
        <v>160</v>
      </c>
    </row>
    <row r="44" spans="1:20" ht="14.5" x14ac:dyDescent="0.35">
      <c r="A44" s="60" t="s">
        <v>408</v>
      </c>
      <c r="B44" s="60" t="s">
        <v>376</v>
      </c>
      <c r="C44" s="60">
        <v>41</v>
      </c>
      <c r="D44" s="62">
        <v>9.8800000000000008</v>
      </c>
      <c r="E44" s="61">
        <v>405.08</v>
      </c>
      <c r="F44" s="78">
        <v>820</v>
      </c>
      <c r="G44" s="79">
        <v>21</v>
      </c>
      <c r="H44" s="78">
        <v>677.68595041322317</v>
      </c>
      <c r="I44" s="78">
        <v>20</v>
      </c>
      <c r="J44" s="57"/>
      <c r="K44" s="80"/>
      <c r="L44" s="68" t="s">
        <v>417</v>
      </c>
      <c r="M44" s="68" t="s">
        <v>376</v>
      </c>
      <c r="N44" s="68">
        <v>260</v>
      </c>
      <c r="O44" s="61">
        <v>65</v>
      </c>
      <c r="P44" s="82">
        <v>16900</v>
      </c>
      <c r="Q44" s="81">
        <v>41600</v>
      </c>
      <c r="R44" s="67">
        <v>21</v>
      </c>
      <c r="S44" s="81">
        <f t="shared" si="13"/>
        <v>34380.17</v>
      </c>
      <c r="T44" s="81">
        <f t="shared" si="9"/>
        <v>160</v>
      </c>
    </row>
    <row r="45" spans="1:20" ht="14.5" x14ac:dyDescent="0.35">
      <c r="A45" s="60" t="s">
        <v>410</v>
      </c>
      <c r="B45" s="60" t="s">
        <v>366</v>
      </c>
      <c r="C45" s="60">
        <v>20</v>
      </c>
      <c r="D45" s="62">
        <v>12.99</v>
      </c>
      <c r="E45" s="61">
        <v>259.8</v>
      </c>
      <c r="F45" s="78">
        <v>500</v>
      </c>
      <c r="G45" s="79">
        <v>21</v>
      </c>
      <c r="H45" s="78">
        <v>413.22314049586777</v>
      </c>
      <c r="I45" s="78">
        <v>25</v>
      </c>
      <c r="J45" s="57"/>
      <c r="K45" s="80"/>
      <c r="L45" s="68" t="s">
        <v>418</v>
      </c>
      <c r="M45" s="68" t="s">
        <v>376</v>
      </c>
      <c r="N45" s="68">
        <v>105</v>
      </c>
      <c r="O45" s="61">
        <v>65</v>
      </c>
      <c r="P45" s="82">
        <v>6825</v>
      </c>
      <c r="Q45" s="81">
        <v>23100</v>
      </c>
      <c r="R45" s="67">
        <v>21</v>
      </c>
      <c r="S45" s="81">
        <f t="shared" si="13"/>
        <v>19090.91</v>
      </c>
      <c r="T45" s="81">
        <f t="shared" si="9"/>
        <v>220</v>
      </c>
    </row>
    <row r="46" spans="1:20" ht="14.5" x14ac:dyDescent="0.35">
      <c r="A46" s="121" t="s">
        <v>411</v>
      </c>
      <c r="B46" s="121" t="s">
        <v>376</v>
      </c>
      <c r="C46" s="121">
        <v>3</v>
      </c>
      <c r="D46" s="122">
        <v>52.15</v>
      </c>
      <c r="E46" s="122">
        <v>156.44999999999999</v>
      </c>
      <c r="F46" s="123">
        <v>360</v>
      </c>
      <c r="G46" s="124">
        <v>21</v>
      </c>
      <c r="H46" s="123">
        <v>297.52066115702479</v>
      </c>
      <c r="I46" s="123">
        <v>120</v>
      </c>
      <c r="J46" s="76" t="s">
        <v>398</v>
      </c>
      <c r="K46" s="80"/>
      <c r="L46" s="68" t="s">
        <v>393</v>
      </c>
      <c r="M46" s="68" t="s">
        <v>376</v>
      </c>
      <c r="N46" s="68">
        <v>6</v>
      </c>
      <c r="O46" s="61">
        <v>4.5599999999999996</v>
      </c>
      <c r="P46" s="82">
        <v>27.36</v>
      </c>
      <c r="Q46" s="81">
        <v>150</v>
      </c>
      <c r="R46" s="67">
        <v>21</v>
      </c>
      <c r="S46" s="81">
        <f t="shared" si="13"/>
        <v>123.97</v>
      </c>
      <c r="T46" s="81">
        <f t="shared" si="9"/>
        <v>25</v>
      </c>
    </row>
    <row r="47" spans="1:20" ht="14.5" x14ac:dyDescent="0.35">
      <c r="A47" s="121" t="s">
        <v>413</v>
      </c>
      <c r="B47" s="121" t="s">
        <v>376</v>
      </c>
      <c r="C47" s="121">
        <v>216</v>
      </c>
      <c r="D47" s="122">
        <v>49.02</v>
      </c>
      <c r="E47" s="122">
        <v>10588.32</v>
      </c>
      <c r="F47" s="123">
        <v>47520</v>
      </c>
      <c r="G47" s="124">
        <v>21</v>
      </c>
      <c r="H47" s="123">
        <v>39272.727272727272</v>
      </c>
      <c r="I47" s="123">
        <v>220</v>
      </c>
      <c r="J47" s="76" t="s">
        <v>398</v>
      </c>
      <c r="K47" s="80"/>
      <c r="L47" s="68" t="s">
        <v>419</v>
      </c>
      <c r="M47" s="68" t="s">
        <v>376</v>
      </c>
      <c r="N47" s="68">
        <v>11</v>
      </c>
      <c r="O47" s="61">
        <v>34.9</v>
      </c>
      <c r="P47" s="82">
        <v>383.93</v>
      </c>
      <c r="Q47" s="81">
        <v>583</v>
      </c>
      <c r="R47" s="67">
        <v>12</v>
      </c>
      <c r="S47" s="81">
        <f t="shared" ref="S47:S53" si="14">ROUND(+Q47/1.12,2)+0.01</f>
        <v>520.54999999999995</v>
      </c>
      <c r="T47" s="81">
        <f t="shared" si="9"/>
        <v>53</v>
      </c>
    </row>
    <row r="48" spans="1:20" ht="14.5" x14ac:dyDescent="0.35">
      <c r="A48" s="121" t="s">
        <v>415</v>
      </c>
      <c r="B48" s="121" t="s">
        <v>376</v>
      </c>
      <c r="C48" s="121">
        <v>85</v>
      </c>
      <c r="D48" s="122">
        <v>74.63</v>
      </c>
      <c r="E48" s="122">
        <v>6343.55</v>
      </c>
      <c r="F48" s="123">
        <v>22100</v>
      </c>
      <c r="G48" s="124">
        <v>21</v>
      </c>
      <c r="H48" s="123">
        <v>18264.462809917357</v>
      </c>
      <c r="I48" s="123">
        <v>260</v>
      </c>
      <c r="J48" s="76" t="s">
        <v>398</v>
      </c>
      <c r="K48" s="80"/>
      <c r="L48" s="68" t="s">
        <v>420</v>
      </c>
      <c r="M48" s="68" t="s">
        <v>376</v>
      </c>
      <c r="N48" s="68">
        <v>6</v>
      </c>
      <c r="O48" s="61">
        <v>55</v>
      </c>
      <c r="P48" s="82">
        <v>330</v>
      </c>
      <c r="Q48" s="81">
        <v>462</v>
      </c>
      <c r="R48" s="67">
        <v>12</v>
      </c>
      <c r="S48" s="81">
        <f t="shared" si="14"/>
        <v>412.51</v>
      </c>
      <c r="T48" s="81">
        <f t="shared" si="9"/>
        <v>77</v>
      </c>
    </row>
    <row r="49" spans="1:20" ht="14.5" x14ac:dyDescent="0.35">
      <c r="A49" s="121" t="s">
        <v>416</v>
      </c>
      <c r="B49" s="121" t="s">
        <v>376</v>
      </c>
      <c r="C49" s="121">
        <v>409</v>
      </c>
      <c r="D49" s="122">
        <v>49.06</v>
      </c>
      <c r="E49" s="122">
        <v>20065.54</v>
      </c>
      <c r="F49" s="123">
        <v>65440</v>
      </c>
      <c r="G49" s="124">
        <v>21</v>
      </c>
      <c r="H49" s="123">
        <v>54082.644628099173</v>
      </c>
      <c r="I49" s="123">
        <v>160</v>
      </c>
      <c r="J49" s="76" t="s">
        <v>398</v>
      </c>
      <c r="K49" s="80"/>
      <c r="L49" s="68" t="s">
        <v>421</v>
      </c>
      <c r="M49" s="68" t="s">
        <v>395</v>
      </c>
      <c r="N49" s="68">
        <v>1.478</v>
      </c>
      <c r="O49" s="61">
        <v>199</v>
      </c>
      <c r="P49" s="82">
        <v>294.12</v>
      </c>
      <c r="Q49" s="81">
        <v>415</v>
      </c>
      <c r="R49" s="67">
        <v>12</v>
      </c>
      <c r="S49" s="81">
        <f t="shared" si="14"/>
        <v>370.55</v>
      </c>
      <c r="T49" s="81">
        <f t="shared" si="9"/>
        <v>280.77999999999997</v>
      </c>
    </row>
    <row r="50" spans="1:20" ht="14.5" x14ac:dyDescent="0.35">
      <c r="A50" s="121" t="s">
        <v>417</v>
      </c>
      <c r="B50" s="121" t="s">
        <v>376</v>
      </c>
      <c r="C50" s="121">
        <v>318</v>
      </c>
      <c r="D50" s="122">
        <v>65</v>
      </c>
      <c r="E50" s="122">
        <v>20670</v>
      </c>
      <c r="F50" s="123">
        <v>50880</v>
      </c>
      <c r="G50" s="124">
        <v>21</v>
      </c>
      <c r="H50" s="123">
        <v>42049.586776859505</v>
      </c>
      <c r="I50" s="123">
        <v>160</v>
      </c>
      <c r="J50" s="76" t="s">
        <v>398</v>
      </c>
      <c r="K50" s="80"/>
      <c r="L50" s="68" t="s">
        <v>422</v>
      </c>
      <c r="M50" s="68" t="s">
        <v>376</v>
      </c>
      <c r="N50" s="68">
        <v>6</v>
      </c>
      <c r="O50" s="61">
        <v>55</v>
      </c>
      <c r="P50" s="82">
        <v>330</v>
      </c>
      <c r="Q50" s="81">
        <v>462</v>
      </c>
      <c r="R50" s="67">
        <v>12</v>
      </c>
      <c r="S50" s="81">
        <f t="shared" si="14"/>
        <v>412.51</v>
      </c>
      <c r="T50" s="81">
        <f t="shared" si="9"/>
        <v>77</v>
      </c>
    </row>
    <row r="51" spans="1:20" ht="14.5" x14ac:dyDescent="0.35">
      <c r="A51" s="121" t="s">
        <v>418</v>
      </c>
      <c r="B51" s="121" t="s">
        <v>376</v>
      </c>
      <c r="C51" s="121">
        <v>71</v>
      </c>
      <c r="D51" s="122">
        <v>65</v>
      </c>
      <c r="E51" s="122">
        <v>4615</v>
      </c>
      <c r="F51" s="123">
        <v>15620</v>
      </c>
      <c r="G51" s="124">
        <v>21</v>
      </c>
      <c r="H51" s="123">
        <v>12909.09090909091</v>
      </c>
      <c r="I51" s="123">
        <v>220</v>
      </c>
      <c r="J51" s="76" t="s">
        <v>398</v>
      </c>
      <c r="K51" s="80"/>
      <c r="L51" s="68" t="s">
        <v>423</v>
      </c>
      <c r="M51" s="68" t="s">
        <v>376</v>
      </c>
      <c r="N51" s="68">
        <v>3</v>
      </c>
      <c r="O51" s="61">
        <v>35</v>
      </c>
      <c r="P51" s="82">
        <v>105</v>
      </c>
      <c r="Q51" s="81">
        <v>159</v>
      </c>
      <c r="R51" s="67">
        <v>12</v>
      </c>
      <c r="S51" s="81">
        <f t="shared" si="14"/>
        <v>141.97</v>
      </c>
      <c r="T51" s="81">
        <f t="shared" si="9"/>
        <v>53</v>
      </c>
    </row>
    <row r="52" spans="1:20" ht="14.5" x14ac:dyDescent="0.35">
      <c r="A52" s="60" t="s">
        <v>424</v>
      </c>
      <c r="B52" s="60" t="s">
        <v>376</v>
      </c>
      <c r="C52" s="60">
        <v>1</v>
      </c>
      <c r="D52" s="83">
        <v>38</v>
      </c>
      <c r="E52" s="61">
        <v>38</v>
      </c>
      <c r="F52" s="78">
        <v>52</v>
      </c>
      <c r="G52" s="79">
        <v>12</v>
      </c>
      <c r="H52" s="78">
        <v>46.428571428571423</v>
      </c>
      <c r="I52" s="78">
        <v>52</v>
      </c>
      <c r="J52" s="57"/>
      <c r="K52" s="80"/>
      <c r="L52" s="68" t="s">
        <v>425</v>
      </c>
      <c r="M52" s="68" t="s">
        <v>395</v>
      </c>
      <c r="N52" s="68">
        <v>2.202</v>
      </c>
      <c r="O52" s="61">
        <v>169</v>
      </c>
      <c r="P52" s="82">
        <v>372.13</v>
      </c>
      <c r="Q52" s="81">
        <v>526</v>
      </c>
      <c r="R52" s="67">
        <v>12</v>
      </c>
      <c r="S52" s="81">
        <f t="shared" si="14"/>
        <v>469.65</v>
      </c>
      <c r="T52" s="81">
        <f t="shared" si="9"/>
        <v>238.87</v>
      </c>
    </row>
    <row r="53" spans="1:20" ht="14.5" x14ac:dyDescent="0.35">
      <c r="A53" s="60" t="s">
        <v>419</v>
      </c>
      <c r="B53" s="60" t="s">
        <v>376</v>
      </c>
      <c r="C53" s="60">
        <v>2</v>
      </c>
      <c r="D53" s="83">
        <v>35</v>
      </c>
      <c r="E53" s="61">
        <v>70</v>
      </c>
      <c r="F53" s="78">
        <v>106</v>
      </c>
      <c r="G53" s="79">
        <v>12</v>
      </c>
      <c r="H53" s="78">
        <v>94.642857142857139</v>
      </c>
      <c r="I53" s="78">
        <v>53</v>
      </c>
      <c r="J53" s="57"/>
      <c r="K53" s="80"/>
      <c r="L53" s="68" t="s">
        <v>426</v>
      </c>
      <c r="M53" s="68" t="s">
        <v>395</v>
      </c>
      <c r="N53" s="68">
        <v>3.3519999999999999</v>
      </c>
      <c r="O53" s="61">
        <v>175</v>
      </c>
      <c r="P53" s="82">
        <v>586.6</v>
      </c>
      <c r="Q53" s="81">
        <v>825</v>
      </c>
      <c r="R53" s="67">
        <v>12</v>
      </c>
      <c r="S53" s="81">
        <f t="shared" si="14"/>
        <v>736.62</v>
      </c>
      <c r="T53" s="81">
        <f t="shared" si="9"/>
        <v>246.12</v>
      </c>
    </row>
    <row r="54" spans="1:20" ht="14.5" x14ac:dyDescent="0.35">
      <c r="A54" s="60" t="s">
        <v>427</v>
      </c>
      <c r="B54" s="60" t="s">
        <v>376</v>
      </c>
      <c r="C54" s="60">
        <v>3</v>
      </c>
      <c r="D54" s="62">
        <v>18.66</v>
      </c>
      <c r="E54" s="61">
        <v>55.98</v>
      </c>
      <c r="F54" s="78">
        <v>75</v>
      </c>
      <c r="G54" s="79">
        <v>21</v>
      </c>
      <c r="H54" s="78">
        <v>61.983471074380169</v>
      </c>
      <c r="I54" s="78">
        <v>25</v>
      </c>
      <c r="J54" s="57"/>
      <c r="K54" s="80"/>
      <c r="L54" s="68" t="s">
        <v>428</v>
      </c>
      <c r="M54" s="68" t="s">
        <v>376</v>
      </c>
      <c r="N54" s="68">
        <v>23</v>
      </c>
      <c r="O54" s="61">
        <v>10.64</v>
      </c>
      <c r="P54" s="82">
        <v>244.83</v>
      </c>
      <c r="Q54" s="81">
        <v>460</v>
      </c>
      <c r="R54" s="67">
        <v>21</v>
      </c>
      <c r="S54" s="81">
        <f t="shared" ref="S54:S55" si="15">ROUND(+Q54/1.21,2)</f>
        <v>380.17</v>
      </c>
      <c r="T54" s="81">
        <f t="shared" si="9"/>
        <v>20</v>
      </c>
    </row>
    <row r="55" spans="1:20" ht="14.5" x14ac:dyDescent="0.35">
      <c r="A55" s="60" t="s">
        <v>420</v>
      </c>
      <c r="B55" s="60" t="s">
        <v>376</v>
      </c>
      <c r="C55" s="60">
        <v>6</v>
      </c>
      <c r="D55" s="62">
        <v>51.67</v>
      </c>
      <c r="E55" s="61">
        <v>310.02</v>
      </c>
      <c r="F55" s="78">
        <v>462</v>
      </c>
      <c r="G55" s="79">
        <v>12</v>
      </c>
      <c r="H55" s="78">
        <v>412.49999999999994</v>
      </c>
      <c r="I55" s="78">
        <v>77</v>
      </c>
      <c r="J55" s="57"/>
      <c r="K55" s="80"/>
      <c r="L55" s="68" t="s">
        <v>396</v>
      </c>
      <c r="M55" s="68" t="s">
        <v>376</v>
      </c>
      <c r="N55" s="68">
        <v>4</v>
      </c>
      <c r="O55" s="61">
        <v>13.8</v>
      </c>
      <c r="P55" s="82">
        <v>55.2</v>
      </c>
      <c r="Q55" s="81">
        <v>160</v>
      </c>
      <c r="R55" s="67">
        <v>21</v>
      </c>
      <c r="S55" s="81">
        <f t="shared" si="15"/>
        <v>132.22999999999999</v>
      </c>
      <c r="T55" s="81">
        <f t="shared" si="9"/>
        <v>40</v>
      </c>
    </row>
    <row r="56" spans="1:20" ht="14.5" x14ac:dyDescent="0.35">
      <c r="A56" s="60" t="s">
        <v>421</v>
      </c>
      <c r="B56" s="60" t="s">
        <v>395</v>
      </c>
      <c r="C56" s="60">
        <v>0.2</v>
      </c>
      <c r="D56" s="62">
        <v>214.7</v>
      </c>
      <c r="E56" s="61">
        <v>42.94</v>
      </c>
      <c r="F56" s="78">
        <v>56</v>
      </c>
      <c r="G56" s="79">
        <v>12</v>
      </c>
      <c r="H56" s="78">
        <v>49.999999999999993</v>
      </c>
      <c r="I56" s="78">
        <v>280</v>
      </c>
      <c r="J56" s="57"/>
      <c r="K56" s="80"/>
      <c r="L56" s="68" t="s">
        <v>429</v>
      </c>
      <c r="M56" s="68" t="s">
        <v>395</v>
      </c>
      <c r="N56" s="68">
        <v>0.22600000000000001</v>
      </c>
      <c r="O56" s="61">
        <v>318.98</v>
      </c>
      <c r="P56" s="82">
        <v>72.09</v>
      </c>
      <c r="Q56" s="81">
        <v>101</v>
      </c>
      <c r="R56" s="67">
        <v>12</v>
      </c>
      <c r="S56" s="81">
        <f t="shared" ref="S56:S61" si="16">ROUND(+Q56/1.12,2)+0.01</f>
        <v>90.190000000000012</v>
      </c>
      <c r="T56" s="81">
        <f t="shared" si="9"/>
        <v>446.9</v>
      </c>
    </row>
    <row r="57" spans="1:20" ht="14.5" x14ac:dyDescent="0.35">
      <c r="A57" s="60" t="s">
        <v>430</v>
      </c>
      <c r="B57" s="60" t="s">
        <v>376</v>
      </c>
      <c r="C57" s="60">
        <v>18</v>
      </c>
      <c r="D57" s="62">
        <v>8.3000000000000007</v>
      </c>
      <c r="E57" s="61">
        <v>149.4</v>
      </c>
      <c r="F57" s="78">
        <v>270</v>
      </c>
      <c r="G57" s="79">
        <v>12</v>
      </c>
      <c r="H57" s="78">
        <v>241.07142857142856</v>
      </c>
      <c r="I57" s="78">
        <v>15</v>
      </c>
      <c r="J57" s="57"/>
      <c r="K57" s="80"/>
      <c r="L57" s="68" t="s">
        <v>431</v>
      </c>
      <c r="M57" s="68" t="s">
        <v>395</v>
      </c>
      <c r="N57" s="68">
        <v>0.68899999999999995</v>
      </c>
      <c r="O57" s="61">
        <v>319</v>
      </c>
      <c r="P57" s="82">
        <v>219.79</v>
      </c>
      <c r="Q57" s="81">
        <v>311</v>
      </c>
      <c r="R57" s="67">
        <v>12</v>
      </c>
      <c r="S57" s="81">
        <f t="shared" si="16"/>
        <v>277.69</v>
      </c>
      <c r="T57" s="81">
        <f t="shared" si="9"/>
        <v>451.38</v>
      </c>
    </row>
    <row r="58" spans="1:20" ht="14.5" x14ac:dyDescent="0.35">
      <c r="A58" s="60" t="s">
        <v>422</v>
      </c>
      <c r="B58" s="60" t="s">
        <v>376</v>
      </c>
      <c r="C58" s="60">
        <v>8</v>
      </c>
      <c r="D58" s="62">
        <v>47</v>
      </c>
      <c r="E58" s="61">
        <v>376</v>
      </c>
      <c r="F58" s="78">
        <v>616</v>
      </c>
      <c r="G58" s="79">
        <v>12</v>
      </c>
      <c r="H58" s="78">
        <v>550</v>
      </c>
      <c r="I58" s="78">
        <v>77</v>
      </c>
      <c r="J58" s="57"/>
      <c r="K58" s="80"/>
      <c r="L58" s="68" t="s">
        <v>432</v>
      </c>
      <c r="M58" s="68" t="s">
        <v>395</v>
      </c>
      <c r="N58" s="68">
        <v>0.02</v>
      </c>
      <c r="O58" s="61">
        <v>319</v>
      </c>
      <c r="P58" s="82">
        <v>6.38</v>
      </c>
      <c r="Q58" s="81">
        <v>9</v>
      </c>
      <c r="R58" s="67">
        <v>12</v>
      </c>
      <c r="S58" s="81">
        <f t="shared" si="16"/>
        <v>8.0499999999999989</v>
      </c>
      <c r="T58" s="81">
        <f t="shared" si="9"/>
        <v>450</v>
      </c>
    </row>
    <row r="59" spans="1:20" ht="14.5" x14ac:dyDescent="0.35">
      <c r="A59" s="60" t="s">
        <v>425</v>
      </c>
      <c r="B59" s="60" t="s">
        <v>395</v>
      </c>
      <c r="C59" s="60">
        <v>1.31</v>
      </c>
      <c r="D59" s="62">
        <v>173.37</v>
      </c>
      <c r="E59" s="61">
        <f>0.25+227.11</f>
        <v>227.36</v>
      </c>
      <c r="F59" s="78">
        <v>314</v>
      </c>
      <c r="G59" s="79">
        <v>12</v>
      </c>
      <c r="H59" s="78">
        <v>280.35714285714283</v>
      </c>
      <c r="I59" s="78">
        <v>239.69465648854961</v>
      </c>
      <c r="J59" s="57"/>
      <c r="K59" s="80"/>
      <c r="L59" s="68" t="s">
        <v>433</v>
      </c>
      <c r="M59" s="68" t="s">
        <v>376</v>
      </c>
      <c r="N59" s="68">
        <v>12</v>
      </c>
      <c r="O59" s="61">
        <v>38</v>
      </c>
      <c r="P59" s="82">
        <v>456.05</v>
      </c>
      <c r="Q59" s="81">
        <v>780</v>
      </c>
      <c r="R59" s="67">
        <v>12</v>
      </c>
      <c r="S59" s="81">
        <f t="shared" si="16"/>
        <v>696.43999999999994</v>
      </c>
      <c r="T59" s="81">
        <f t="shared" si="9"/>
        <v>65</v>
      </c>
    </row>
    <row r="60" spans="1:20" ht="14.5" x14ac:dyDescent="0.35">
      <c r="A60" s="60" t="s">
        <v>426</v>
      </c>
      <c r="B60" s="60" t="s">
        <v>395</v>
      </c>
      <c r="C60" s="60">
        <v>2.6259999999999999</v>
      </c>
      <c r="D60" s="62">
        <v>175.11</v>
      </c>
      <c r="E60" s="61">
        <v>459.84</v>
      </c>
      <c r="F60" s="78">
        <v>646</v>
      </c>
      <c r="G60" s="79">
        <v>12</v>
      </c>
      <c r="H60" s="78">
        <v>576.78571428571422</v>
      </c>
      <c r="I60" s="78">
        <v>246.001523229246</v>
      </c>
      <c r="J60" s="57"/>
      <c r="K60" s="80"/>
      <c r="L60" s="68" t="s">
        <v>434</v>
      </c>
      <c r="M60" s="68" t="s">
        <v>376</v>
      </c>
      <c r="N60" s="68">
        <v>5</v>
      </c>
      <c r="O60" s="61">
        <v>35.51</v>
      </c>
      <c r="P60" s="82">
        <v>177.53</v>
      </c>
      <c r="Q60" s="81">
        <v>300</v>
      </c>
      <c r="R60" s="67">
        <v>12</v>
      </c>
      <c r="S60" s="81">
        <f t="shared" si="16"/>
        <v>267.87</v>
      </c>
      <c r="T60" s="81">
        <f t="shared" si="9"/>
        <v>60</v>
      </c>
    </row>
    <row r="61" spans="1:20" ht="14.5" x14ac:dyDescent="0.35">
      <c r="A61" s="60" t="s">
        <v>428</v>
      </c>
      <c r="B61" s="60" t="s">
        <v>376</v>
      </c>
      <c r="C61" s="60">
        <v>38</v>
      </c>
      <c r="D61" s="62">
        <v>10.64</v>
      </c>
      <c r="E61" s="61">
        <v>404.32</v>
      </c>
      <c r="F61" s="78">
        <v>760</v>
      </c>
      <c r="G61" s="79">
        <v>21</v>
      </c>
      <c r="H61" s="78">
        <v>628.09917355371908</v>
      </c>
      <c r="I61" s="78">
        <v>20</v>
      </c>
      <c r="J61" s="57"/>
      <c r="K61" s="80"/>
      <c r="L61" s="68" t="s">
        <v>435</v>
      </c>
      <c r="M61" s="68" t="s">
        <v>376</v>
      </c>
      <c r="N61" s="68">
        <v>1</v>
      </c>
      <c r="O61" s="61">
        <v>35.5</v>
      </c>
      <c r="P61" s="82">
        <v>35.5</v>
      </c>
      <c r="Q61" s="81">
        <v>60</v>
      </c>
      <c r="R61" s="67">
        <v>12</v>
      </c>
      <c r="S61" s="81">
        <f t="shared" si="16"/>
        <v>53.58</v>
      </c>
      <c r="T61" s="81">
        <f t="shared" si="9"/>
        <v>60</v>
      </c>
    </row>
    <row r="62" spans="1:20" ht="14.5" x14ac:dyDescent="0.35">
      <c r="A62" s="60" t="s">
        <v>429</v>
      </c>
      <c r="B62" s="60" t="s">
        <v>395</v>
      </c>
      <c r="C62" s="60">
        <v>0.21199999999999999</v>
      </c>
      <c r="D62" s="62">
        <v>308.92</v>
      </c>
      <c r="E62" s="61">
        <v>65.489999999999995</v>
      </c>
      <c r="F62" s="78">
        <v>95</v>
      </c>
      <c r="G62" s="79">
        <v>12</v>
      </c>
      <c r="H62" s="78">
        <v>84.821428571428569</v>
      </c>
      <c r="I62" s="78">
        <v>448.11320754716985</v>
      </c>
      <c r="J62" s="57"/>
      <c r="K62" s="80"/>
      <c r="L62" s="68" t="s">
        <v>397</v>
      </c>
      <c r="M62" s="68" t="s">
        <v>366</v>
      </c>
      <c r="N62" s="68">
        <v>168</v>
      </c>
      <c r="O62" s="61">
        <v>8.17</v>
      </c>
      <c r="P62" s="82">
        <v>1372.97</v>
      </c>
      <c r="Q62" s="81">
        <v>3360</v>
      </c>
      <c r="R62" s="67">
        <v>21</v>
      </c>
      <c r="S62" s="81">
        <f t="shared" ref="S62:S65" si="17">ROUND(+Q62/1.21,2)</f>
        <v>2776.86</v>
      </c>
      <c r="T62" s="81">
        <f t="shared" si="9"/>
        <v>20</v>
      </c>
    </row>
    <row r="63" spans="1:20" ht="14.5" x14ac:dyDescent="0.35">
      <c r="A63" s="60" t="s">
        <v>431</v>
      </c>
      <c r="B63" s="60" t="s">
        <v>395</v>
      </c>
      <c r="C63" s="60">
        <v>0.53600000000000003</v>
      </c>
      <c r="D63" s="62">
        <v>309.94</v>
      </c>
      <c r="E63" s="61">
        <v>166.13</v>
      </c>
      <c r="F63" s="78">
        <v>242</v>
      </c>
      <c r="G63" s="79">
        <v>12</v>
      </c>
      <c r="H63" s="78">
        <v>216.07142857142856</v>
      </c>
      <c r="I63" s="78">
        <v>451.49253731343282</v>
      </c>
      <c r="J63" s="57"/>
      <c r="K63" s="80"/>
      <c r="L63" s="68" t="s">
        <v>400</v>
      </c>
      <c r="M63" s="68" t="s">
        <v>366</v>
      </c>
      <c r="N63" s="68">
        <v>148</v>
      </c>
      <c r="O63" s="61">
        <v>7.61</v>
      </c>
      <c r="P63" s="82">
        <v>1126.73</v>
      </c>
      <c r="Q63" s="81">
        <v>5180</v>
      </c>
      <c r="R63" s="67">
        <v>21</v>
      </c>
      <c r="S63" s="81">
        <f t="shared" si="17"/>
        <v>4280.99</v>
      </c>
      <c r="T63" s="81">
        <f t="shared" si="9"/>
        <v>35</v>
      </c>
    </row>
    <row r="64" spans="1:20" ht="14.5" x14ac:dyDescent="0.35">
      <c r="A64" s="60" t="s">
        <v>432</v>
      </c>
      <c r="B64" s="60" t="s">
        <v>395</v>
      </c>
      <c r="C64" s="60">
        <v>0.52</v>
      </c>
      <c r="D64" s="62">
        <v>319</v>
      </c>
      <c r="E64" s="61">
        <v>165.88</v>
      </c>
      <c r="F64" s="78">
        <v>234</v>
      </c>
      <c r="G64" s="79">
        <v>12</v>
      </c>
      <c r="H64" s="78">
        <v>208.92857142857142</v>
      </c>
      <c r="I64" s="78">
        <v>450</v>
      </c>
      <c r="J64" s="57"/>
      <c r="K64" s="80"/>
      <c r="L64" s="68" t="s">
        <v>401</v>
      </c>
      <c r="M64" s="68" t="s">
        <v>366</v>
      </c>
      <c r="N64" s="68">
        <v>183</v>
      </c>
      <c r="O64" s="61">
        <v>11.46</v>
      </c>
      <c r="P64" s="82">
        <v>2097.7600000000002</v>
      </c>
      <c r="Q64" s="81">
        <v>8235</v>
      </c>
      <c r="R64" s="67">
        <v>21</v>
      </c>
      <c r="S64" s="81">
        <f t="shared" si="17"/>
        <v>6805.79</v>
      </c>
      <c r="T64" s="81">
        <f t="shared" si="9"/>
        <v>45</v>
      </c>
    </row>
    <row r="65" spans="1:20" ht="14.5" x14ac:dyDescent="0.35">
      <c r="A65" s="60" t="s">
        <v>436</v>
      </c>
      <c r="B65" s="60" t="s">
        <v>366</v>
      </c>
      <c r="C65" s="60">
        <v>14</v>
      </c>
      <c r="D65" s="62">
        <v>180</v>
      </c>
      <c r="E65" s="61">
        <v>2520</v>
      </c>
      <c r="F65" s="78">
        <v>4480</v>
      </c>
      <c r="G65" s="79">
        <v>21</v>
      </c>
      <c r="H65" s="78">
        <v>3702.4793388429753</v>
      </c>
      <c r="I65" s="78">
        <v>320</v>
      </c>
      <c r="L65" s="68" t="s">
        <v>403</v>
      </c>
      <c r="M65" s="68" t="s">
        <v>366</v>
      </c>
      <c r="N65" s="68">
        <v>1390</v>
      </c>
      <c r="O65" s="61">
        <v>7.8</v>
      </c>
      <c r="P65" s="82">
        <v>10837.5</v>
      </c>
      <c r="Q65" s="81">
        <v>34750</v>
      </c>
      <c r="R65" s="67">
        <v>21</v>
      </c>
      <c r="S65" s="81">
        <f t="shared" si="17"/>
        <v>28719.01</v>
      </c>
      <c r="T65" s="81">
        <f t="shared" si="9"/>
        <v>25</v>
      </c>
    </row>
    <row r="66" spans="1:20" ht="14.5" x14ac:dyDescent="0.35">
      <c r="A66" s="74" t="s">
        <v>437</v>
      </c>
      <c r="B66" s="125"/>
      <c r="C66" s="125"/>
      <c r="D66" s="126"/>
      <c r="E66" s="61">
        <f>SUM(E26:E65)</f>
        <v>85124.030000000028</v>
      </c>
      <c r="F66" s="61">
        <f t="shared" ref="F66:H66" si="18">SUM(F26:F65)</f>
        <v>268689</v>
      </c>
      <c r="G66" s="126"/>
      <c r="H66" s="61">
        <f t="shared" si="18"/>
        <v>222371.08175914994</v>
      </c>
      <c r="I66" s="127"/>
      <c r="L66" s="73" t="s">
        <v>437</v>
      </c>
      <c r="M66" s="142"/>
      <c r="N66" s="142"/>
      <c r="O66" s="143"/>
      <c r="P66" s="70">
        <f>SUM(P29:P65)</f>
        <v>94224.369999999981</v>
      </c>
      <c r="Q66" s="70">
        <f t="shared" ref="Q66:S66" si="19">SUM(Q29:Q65)</f>
        <v>289450</v>
      </c>
      <c r="R66" s="143"/>
      <c r="S66" s="70">
        <f t="shared" si="19"/>
        <v>239627.34999999998</v>
      </c>
      <c r="T66" s="145"/>
    </row>
    <row r="67" spans="1:20" ht="16.5" customHeight="1" x14ac:dyDescent="0.35">
      <c r="A67" s="74" t="s">
        <v>438</v>
      </c>
      <c r="B67" s="125"/>
      <c r="C67" s="125"/>
      <c r="D67" s="126"/>
      <c r="E67" s="61">
        <f>+E66+E25+E11</f>
        <v>97878.590000000026</v>
      </c>
      <c r="F67" s="61">
        <f t="shared" ref="F67" si="20">+F66+F25+F11</f>
        <v>314679</v>
      </c>
      <c r="G67" s="126"/>
      <c r="H67" s="61">
        <f>+H66+H25+H11</f>
        <v>261380.95484061394</v>
      </c>
      <c r="I67" s="127"/>
      <c r="L67" s="73" t="s">
        <v>438</v>
      </c>
      <c r="M67" s="142"/>
      <c r="N67" s="142"/>
      <c r="O67" s="143"/>
      <c r="P67" s="69">
        <f>+P12+P28+P66</f>
        <v>111089.41999999998</v>
      </c>
      <c r="Q67" s="69">
        <f>+Q12+Q28+Q66</f>
        <v>337797</v>
      </c>
      <c r="R67" s="144"/>
      <c r="S67" s="69">
        <f>+S12+S28+S66</f>
        <v>280298.52999999997</v>
      </c>
      <c r="T67" s="145"/>
    </row>
    <row r="68" spans="1:20" x14ac:dyDescent="0.25">
      <c r="E68" s="56"/>
    </row>
    <row r="69" spans="1:20" x14ac:dyDescent="0.25">
      <c r="A69" s="76" t="s">
        <v>439</v>
      </c>
      <c r="F69" t="s">
        <v>449</v>
      </c>
    </row>
    <row r="70" spans="1:20" x14ac:dyDescent="0.25">
      <c r="A70" s="87" t="s">
        <v>440</v>
      </c>
      <c r="B70" s="87" t="s">
        <v>441</v>
      </c>
      <c r="C70" s="87"/>
      <c r="D70" s="87"/>
      <c r="E70" s="87"/>
      <c r="F70" s="88" t="s">
        <v>442</v>
      </c>
    </row>
    <row r="71" spans="1:20" x14ac:dyDescent="0.25">
      <c r="A71" s="87" t="s">
        <v>443</v>
      </c>
      <c r="B71" s="87" t="s">
        <v>444</v>
      </c>
      <c r="C71" s="87"/>
      <c r="D71" s="87"/>
      <c r="E71" s="87"/>
      <c r="F71" s="88" t="s">
        <v>316</v>
      </c>
    </row>
    <row r="72" spans="1:20" x14ac:dyDescent="0.25">
      <c r="A72" s="87" t="s">
        <v>445</v>
      </c>
      <c r="B72" s="87" t="s">
        <v>446</v>
      </c>
      <c r="C72" s="87"/>
      <c r="D72" s="87"/>
      <c r="E72" s="87"/>
      <c r="F72" s="88" t="s">
        <v>321</v>
      </c>
    </row>
    <row r="73" spans="1:20" x14ac:dyDescent="0.25">
      <c r="A73" s="120" t="s">
        <v>448</v>
      </c>
      <c r="B73" s="120"/>
      <c r="C73" s="120"/>
      <c r="F73" s="55"/>
    </row>
  </sheetData>
  <sortState xmlns:xlrd2="http://schemas.microsoft.com/office/spreadsheetml/2017/richdata2" ref="L13:T65">
    <sortCondition ref="L13:L65"/>
  </sortState>
  <mergeCells count="12">
    <mergeCell ref="A6:A7"/>
    <mergeCell ref="B6:B7"/>
    <mergeCell ref="C6:C7"/>
    <mergeCell ref="L6:L7"/>
    <mergeCell ref="M6:M7"/>
    <mergeCell ref="F6:H6"/>
    <mergeCell ref="L1:R1"/>
    <mergeCell ref="M3:R3"/>
    <mergeCell ref="M4:R4"/>
    <mergeCell ref="M5:R5"/>
    <mergeCell ref="Q6:S6"/>
    <mergeCell ref="N6:N7"/>
  </mergeCells>
  <pageMargins left="0.7" right="0.7" top="0.78740157499999996" bottom="0.78740157499999996" header="0.3" footer="0.3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852ED38E0F174DAC882D63ACFC9837" ma:contentTypeVersion="8" ma:contentTypeDescription="Vytvoří nový dokument" ma:contentTypeScope="" ma:versionID="7c41951e07647c08a1695bd5a5fd9fb0">
  <xsd:schema xmlns:xsd="http://www.w3.org/2001/XMLSchema" xmlns:xs="http://www.w3.org/2001/XMLSchema" xmlns:p="http://schemas.microsoft.com/office/2006/metadata/properties" xmlns:ns2="d98dca68-bd52-486c-8b30-ccbbc3f5330a" targetNamespace="http://schemas.microsoft.com/office/2006/metadata/properties" ma:root="true" ma:fieldsID="05477f56286e917480088ab7af5756f5" ns2:_="">
    <xsd:import namespace="d98dca68-bd52-486c-8b30-ccbbc3f533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dca68-bd52-486c-8b30-ccbbc3f53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0FBF32-52F8-445C-A3F3-42BA07746C72}"/>
</file>

<file path=customXml/itemProps2.xml><?xml version="1.0" encoding="utf-8"?>
<ds:datastoreItem xmlns:ds="http://schemas.openxmlformats.org/officeDocument/2006/customXml" ds:itemID="{12A43864-AFE5-46F8-BA20-40F323D1E4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359625-CDF2-4D1F-89F2-9099A45A82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Výsledovka</vt:lpstr>
      <vt:lpstr>Účty</vt:lpstr>
      <vt:lpstr>Položky</vt:lpstr>
      <vt:lpstr>Porovnání sklad. a prodej. cen</vt:lpstr>
      <vt:lpstr>Položky!Print_Area</vt:lpstr>
      <vt:lpstr>'Porovnání sklad. a prodej. cen'!Print_Area</vt:lpstr>
      <vt:lpstr>Účty!Print_Area</vt:lpstr>
      <vt:lpstr>Výsledovka!Print_Area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Jan Vavrina</cp:lastModifiedBy>
  <cp:revision>1</cp:revision>
  <cp:lastPrinted>2025-11-20T10:20:07Z</cp:lastPrinted>
  <dcterms:created xsi:type="dcterms:W3CDTF">2025-09-24T15:45:03Z</dcterms:created>
  <dcterms:modified xsi:type="dcterms:W3CDTF">2025-11-20T10:36:49Z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0x01010035852ED38E0F174DAC882D63ACFC9837</vt:lpwstr>
  </property>
</Properties>
</file>